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katiebrohawn/Downloads/"/>
    </mc:Choice>
  </mc:AlternateContent>
  <xr:revisionPtr revIDLastSave="0" documentId="13_ncr:1_{948F57E0-0581-7C4F-80A5-396D62F7655E}" xr6:coauthVersionLast="47" xr6:coauthVersionMax="47" xr10:uidLastSave="{00000000-0000-0000-0000-000000000000}"/>
  <bookViews>
    <workbookView xWindow="9620" yWindow="780" windowWidth="24580" windowHeight="21360" xr2:uid="{00000000-000D-0000-FFFF-FFFF00000000}"/>
  </bookViews>
  <sheets>
    <sheet name="All" sheetId="1" r:id="rId1"/>
    <sheet name="By Jo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8aWjHazN5VZryPkaBuzYRVvFXEChxN2AyDt7BL4kH1w="/>
    </ext>
  </extLst>
</workbook>
</file>

<file path=xl/calcChain.xml><?xml version="1.0" encoding="utf-8"?>
<calcChain xmlns="http://schemas.openxmlformats.org/spreadsheetml/2006/main">
  <c r="J62" i="2" l="1"/>
  <c r="I62" i="2"/>
  <c r="H62" i="2"/>
  <c r="G62" i="2"/>
  <c r="F62" i="2"/>
  <c r="E62" i="2"/>
  <c r="D62" i="2"/>
  <c r="C62" i="2"/>
  <c r="J61" i="2"/>
  <c r="I61" i="2"/>
  <c r="H61" i="2"/>
  <c r="G61" i="2"/>
  <c r="F61" i="2"/>
  <c r="E61" i="2"/>
  <c r="D61" i="2"/>
  <c r="C61" i="2"/>
  <c r="J60" i="2"/>
  <c r="I60" i="2"/>
  <c r="H60" i="2"/>
  <c r="G60" i="2"/>
  <c r="F60" i="2"/>
  <c r="E60" i="2"/>
  <c r="D60" i="2"/>
  <c r="C60" i="2"/>
  <c r="J59" i="2"/>
  <c r="I59" i="2"/>
  <c r="H59" i="2"/>
  <c r="G59" i="2"/>
  <c r="F59" i="2"/>
  <c r="E59" i="2"/>
  <c r="D59" i="2"/>
  <c r="C59" i="2"/>
  <c r="J58" i="2"/>
  <c r="I58" i="2"/>
  <c r="H58" i="2"/>
  <c r="G58" i="2"/>
  <c r="F58" i="2"/>
  <c r="E58" i="2"/>
  <c r="D58" i="2"/>
  <c r="C58" i="2"/>
  <c r="J57" i="2"/>
  <c r="I57" i="2"/>
  <c r="H57" i="2"/>
  <c r="G57" i="2"/>
  <c r="F57" i="2"/>
  <c r="E57" i="2"/>
  <c r="D57" i="2"/>
  <c r="C57" i="2"/>
  <c r="J53" i="2"/>
  <c r="I53" i="2"/>
  <c r="H53" i="2"/>
  <c r="G53" i="2"/>
  <c r="F53" i="2"/>
  <c r="E53" i="2"/>
  <c r="D53" i="2"/>
  <c r="C53" i="2"/>
  <c r="J52" i="2"/>
  <c r="I52" i="2"/>
  <c r="H52" i="2"/>
  <c r="G52" i="2"/>
  <c r="F52" i="2"/>
  <c r="E52" i="2"/>
  <c r="D52" i="2"/>
  <c r="C52" i="2"/>
  <c r="J51" i="2"/>
  <c r="I51" i="2"/>
  <c r="H51" i="2"/>
  <c r="G51" i="2"/>
  <c r="F51" i="2"/>
  <c r="E51" i="2"/>
  <c r="D51" i="2"/>
  <c r="C51" i="2"/>
  <c r="J50" i="2"/>
  <c r="I50" i="2"/>
  <c r="H50" i="2"/>
  <c r="G50" i="2"/>
  <c r="F50" i="2"/>
  <c r="E50" i="2"/>
  <c r="D50" i="2"/>
  <c r="C50" i="2"/>
  <c r="J49" i="2"/>
  <c r="I49" i="2"/>
  <c r="H49" i="2"/>
  <c r="G49" i="2"/>
  <c r="F49" i="2"/>
  <c r="E49" i="2"/>
  <c r="D49" i="2"/>
  <c r="C49" i="2"/>
  <c r="J48" i="2"/>
  <c r="I48" i="2"/>
  <c r="H48" i="2"/>
  <c r="G48" i="2"/>
  <c r="F48" i="2"/>
  <c r="E48" i="2"/>
  <c r="D48" i="2"/>
  <c r="C48" i="2"/>
  <c r="J47" i="2"/>
  <c r="I47" i="2"/>
  <c r="H47" i="2"/>
  <c r="G47" i="2"/>
  <c r="F47" i="2"/>
  <c r="E47" i="2"/>
  <c r="D47" i="2"/>
  <c r="C47" i="2"/>
  <c r="J46" i="2"/>
  <c r="I46" i="2"/>
  <c r="H46" i="2"/>
  <c r="G46" i="2"/>
  <c r="F46" i="2"/>
  <c r="E46" i="2"/>
  <c r="D46" i="2"/>
  <c r="C46" i="2"/>
  <c r="J45" i="2"/>
  <c r="I45" i="2"/>
  <c r="H45" i="2"/>
  <c r="G45" i="2"/>
  <c r="F45" i="2"/>
  <c r="E45" i="2"/>
  <c r="D45" i="2"/>
  <c r="C45" i="2"/>
  <c r="J44" i="2"/>
  <c r="I44" i="2"/>
  <c r="H44" i="2"/>
  <c r="G44" i="2"/>
  <c r="F44" i="2"/>
  <c r="E44" i="2"/>
  <c r="D44" i="2"/>
  <c r="C44" i="2"/>
  <c r="J40" i="2"/>
  <c r="I40" i="2"/>
  <c r="H40" i="2"/>
  <c r="G40" i="2"/>
  <c r="F40" i="2"/>
  <c r="E40" i="2"/>
  <c r="D40" i="2"/>
  <c r="C40" i="2"/>
  <c r="J39" i="2"/>
  <c r="I39" i="2"/>
  <c r="H39" i="2"/>
  <c r="G39" i="2"/>
  <c r="F39" i="2"/>
  <c r="E39" i="2"/>
  <c r="D39" i="2"/>
  <c r="C39" i="2"/>
  <c r="J38" i="2"/>
  <c r="I38" i="2"/>
  <c r="H38" i="2"/>
  <c r="G38" i="2"/>
  <c r="F38" i="2"/>
  <c r="E38" i="2"/>
  <c r="D38" i="2"/>
  <c r="C38" i="2"/>
  <c r="J37" i="2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29" i="2"/>
  <c r="I29" i="2"/>
  <c r="H29" i="2"/>
  <c r="G29" i="2"/>
  <c r="F29" i="2"/>
  <c r="E29" i="2"/>
  <c r="D29" i="2"/>
  <c r="C29" i="2"/>
  <c r="J28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0" i="2"/>
  <c r="I20" i="2"/>
  <c r="H20" i="2"/>
  <c r="G20" i="2"/>
  <c r="F20" i="2"/>
  <c r="E20" i="2"/>
  <c r="D20" i="2"/>
  <c r="C20" i="2"/>
  <c r="J19" i="2"/>
  <c r="I19" i="2"/>
  <c r="H19" i="2"/>
  <c r="G19" i="2"/>
  <c r="F19" i="2"/>
  <c r="E19" i="2"/>
  <c r="D19" i="2"/>
  <c r="C19" i="2"/>
  <c r="J18" i="2"/>
  <c r="I18" i="2"/>
  <c r="H18" i="2"/>
  <c r="G18" i="2"/>
  <c r="F18" i="2"/>
  <c r="E18" i="2"/>
  <c r="D18" i="2"/>
  <c r="C18" i="2"/>
  <c r="J17" i="2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  <c r="J7" i="2"/>
  <c r="I7" i="2"/>
  <c r="H7" i="2"/>
  <c r="G7" i="2"/>
  <c r="F7" i="2"/>
  <c r="E7" i="2"/>
  <c r="D7" i="2"/>
  <c r="C7" i="2"/>
  <c r="J6" i="2"/>
  <c r="I6" i="2"/>
  <c r="H6" i="2"/>
  <c r="G6" i="2"/>
  <c r="F6" i="2"/>
  <c r="E6" i="2"/>
  <c r="D6" i="2"/>
  <c r="C6" i="2"/>
  <c r="J5" i="2"/>
  <c r="I5" i="2"/>
  <c r="H5" i="2"/>
  <c r="G5" i="2"/>
  <c r="F5" i="2"/>
  <c r="E5" i="2"/>
  <c r="D5" i="2"/>
  <c r="C5" i="2"/>
  <c r="J4" i="2"/>
  <c r="I4" i="2"/>
  <c r="H4" i="2"/>
  <c r="G4" i="2"/>
  <c r="F4" i="2"/>
  <c r="E4" i="2"/>
  <c r="D4" i="2"/>
  <c r="C4" i="2"/>
  <c r="T63" i="1"/>
  <c r="S63" i="1"/>
  <c r="Q63" i="1"/>
  <c r="T62" i="1"/>
  <c r="S62" i="1"/>
  <c r="Q62" i="1"/>
  <c r="T61" i="1"/>
  <c r="S61" i="1"/>
  <c r="Q61" i="1"/>
  <c r="T60" i="1"/>
  <c r="S60" i="1"/>
  <c r="Q60" i="1"/>
  <c r="T59" i="1"/>
  <c r="S59" i="1"/>
  <c r="Q59" i="1"/>
  <c r="T58" i="1"/>
  <c r="S58" i="1"/>
  <c r="Q58" i="1"/>
  <c r="T54" i="1"/>
  <c r="S54" i="1"/>
  <c r="Q54" i="1"/>
  <c r="T53" i="1"/>
  <c r="S53" i="1"/>
  <c r="Q53" i="1"/>
  <c r="T52" i="1"/>
  <c r="S52" i="1"/>
  <c r="Q52" i="1"/>
  <c r="T51" i="1"/>
  <c r="S51" i="1"/>
  <c r="Q51" i="1"/>
  <c r="T50" i="1"/>
  <c r="S50" i="1"/>
  <c r="Q50" i="1"/>
  <c r="T49" i="1"/>
  <c r="S49" i="1"/>
  <c r="Q49" i="1"/>
  <c r="T48" i="1"/>
  <c r="S48" i="1"/>
  <c r="Q48" i="1"/>
  <c r="T47" i="1"/>
  <c r="S47" i="1"/>
  <c r="Q47" i="1"/>
  <c r="T46" i="1"/>
  <c r="S46" i="1"/>
  <c r="Q46" i="1"/>
  <c r="T45" i="1"/>
  <c r="S45" i="1"/>
  <c r="Q45" i="1"/>
  <c r="T41" i="1"/>
  <c r="S41" i="1"/>
  <c r="Q41" i="1"/>
  <c r="T40" i="1"/>
  <c r="S40" i="1"/>
  <c r="Q40" i="1"/>
  <c r="T39" i="1"/>
  <c r="S39" i="1"/>
  <c r="Q39" i="1"/>
  <c r="T38" i="1"/>
  <c r="S38" i="1"/>
  <c r="Q38" i="1"/>
  <c r="T37" i="1"/>
  <c r="S37" i="1"/>
  <c r="Q37" i="1"/>
  <c r="T36" i="1"/>
  <c r="S36" i="1"/>
  <c r="Q36" i="1"/>
  <c r="T32" i="1"/>
  <c r="S32" i="1"/>
  <c r="Q32" i="1"/>
  <c r="T31" i="1"/>
  <c r="S31" i="1"/>
  <c r="Q31" i="1"/>
  <c r="T30" i="1"/>
  <c r="S30" i="1"/>
  <c r="Q30" i="1"/>
  <c r="T29" i="1"/>
  <c r="S29" i="1"/>
  <c r="Q29" i="1"/>
  <c r="T28" i="1"/>
  <c r="S28" i="1"/>
  <c r="Q28" i="1"/>
  <c r="T27" i="1"/>
  <c r="S27" i="1"/>
  <c r="Q27" i="1"/>
  <c r="T26" i="1"/>
  <c r="S26" i="1"/>
  <c r="Q26" i="1"/>
  <c r="T25" i="1"/>
  <c r="S25" i="1"/>
  <c r="Q25" i="1"/>
  <c r="T21" i="1"/>
  <c r="S21" i="1"/>
  <c r="Q21" i="1"/>
  <c r="T20" i="1"/>
  <c r="S20" i="1"/>
  <c r="Q20" i="1"/>
  <c r="T19" i="1"/>
  <c r="S19" i="1"/>
  <c r="Q19" i="1"/>
  <c r="T18" i="1"/>
  <c r="S18" i="1"/>
  <c r="Q18" i="1"/>
  <c r="T17" i="1"/>
  <c r="S17" i="1"/>
  <c r="Q17" i="1"/>
  <c r="T13" i="1"/>
  <c r="S13" i="1"/>
  <c r="Q13" i="1"/>
  <c r="T12" i="1"/>
  <c r="S12" i="1"/>
  <c r="Q12" i="1"/>
  <c r="T11" i="1"/>
  <c r="S11" i="1"/>
  <c r="Q11" i="1"/>
  <c r="T10" i="1"/>
  <c r="S10" i="1"/>
  <c r="Q10" i="1"/>
  <c r="T9" i="1"/>
  <c r="S9" i="1"/>
  <c r="Q9" i="1"/>
  <c r="T8" i="1"/>
  <c r="S8" i="1"/>
  <c r="Q8" i="1"/>
  <c r="T7" i="1"/>
  <c r="S7" i="1"/>
  <c r="Q7" i="1"/>
  <c r="T6" i="1"/>
  <c r="S6" i="1"/>
  <c r="Q6" i="1"/>
  <c r="T5" i="1"/>
  <c r="S5" i="1"/>
  <c r="Q5" i="1"/>
</calcChain>
</file>

<file path=xl/sharedStrings.xml><?xml version="1.0" encoding="utf-8"?>
<sst xmlns="http://schemas.openxmlformats.org/spreadsheetml/2006/main" count="358" uniqueCount="96">
  <si>
    <t>All Respondents</t>
  </si>
  <si>
    <t>Strongly Agree</t>
  </si>
  <si>
    <t>Agree</t>
  </si>
  <si>
    <t>Neither Agree nor Disagree</t>
  </si>
  <si>
    <t>Disagree</t>
  </si>
  <si>
    <t>Strongly Disagree</t>
  </si>
  <si>
    <t>No Basis to Judge</t>
  </si>
  <si>
    <t>Total</t>
  </si>
  <si>
    <t>Average (Excludes NBTJ)</t>
  </si>
  <si>
    <t>% Agree+ Strongly Agree</t>
  </si>
  <si>
    <t>% Disagree +  Strongly Disagree</t>
  </si>
  <si>
    <t>Cuesta College.....</t>
  </si>
  <si>
    <t>%</t>
  </si>
  <si>
    <t>N</t>
  </si>
  <si>
    <t>Mean</t>
  </si>
  <si>
    <t>Construct: College Climate</t>
  </si>
  <si>
    <t>places a high priority on student success.</t>
  </si>
  <si>
    <t>supports the freedom to ask questions and provide feedback.</t>
  </si>
  <si>
    <t>has policies and practices that give me the flexibility to manage my work and personal life.</t>
  </si>
  <si>
    <t>fosters a welcoming and inclusive working and learning environment.</t>
  </si>
  <si>
    <t>provides a safe, clean, and comfortable work and learning environment.</t>
  </si>
  <si>
    <t>sets fair procedures for and expectations of employees.</t>
  </si>
  <si>
    <t>supports new ideas and creative problem-solving.</t>
  </si>
  <si>
    <t>provides opportunities/activities that foster employee comradery.</t>
  </si>
  <si>
    <t>is a great place to work.</t>
  </si>
  <si>
    <t>Construct: Diversity, Equity, and Inclusion</t>
  </si>
  <si>
    <t>Cuesta College provides the resources and personnel necessary to support its commitment to diversity and inclusion.</t>
  </si>
  <si>
    <t>Cuesta College supports students and employees with disabilities.</t>
  </si>
  <si>
    <t>I've been the object of negative stereotypes at work or on campus, either in person or virtually.</t>
  </si>
  <si>
    <t>I have witnessed others experience prejudice or discrimination at work or on campus, either in person or virtually.</t>
  </si>
  <si>
    <t>I feel a sense of belonging at Cuesta College</t>
  </si>
  <si>
    <t>Very Satisfied</t>
  </si>
  <si>
    <t>Satisfied</t>
  </si>
  <si>
    <t>Neutral</t>
  </si>
  <si>
    <t>Dissatisfied</t>
  </si>
  <si>
    <t>Very Dissatisfied</t>
  </si>
  <si>
    <t>Construct: Job Satisfaction</t>
  </si>
  <si>
    <t>Total compensation (salary, leave package, and healthcare benefits)</t>
  </si>
  <si>
    <t>Employee orientation/onboarding</t>
  </si>
  <si>
    <t>Resources, training, and support provided for me to perform my job effectively</t>
  </si>
  <si>
    <t>Opportunities and avenues available to participate in college governance</t>
  </si>
  <si>
    <t>Performance evaluation process provides necessary feedback to understand my work effectiveness and how to improve</t>
  </si>
  <si>
    <t>Recognition and rewards for doing a good job</t>
  </si>
  <si>
    <t>Personal enrichment opportunities through college-sponsored learning and cultural experiences</t>
  </si>
  <si>
    <t>Overall job satisfaction</t>
  </si>
  <si>
    <t>My Supervisor...</t>
  </si>
  <si>
    <t>Construct: Supervisor Satisfaction</t>
  </si>
  <si>
    <t>sets clear expectations for my work performance and the direction of our department.</t>
  </si>
  <si>
    <t>provides open and timely communication about the decisions and needs of the department/College.</t>
  </si>
  <si>
    <t>welcomes my input and suggestions in departmental procedures and decisions, including dissenting opinions.</t>
  </si>
  <si>
    <t>supports a healthy work/life balance.</t>
  </si>
  <si>
    <t>considers my current workload before assigning new responsibilities or projects.</t>
  </si>
  <si>
    <t>treats me respectfully, provides encouragement, and motivates me to excel. Works to solve problems rather than place blame.</t>
  </si>
  <si>
    <t>College Leadership...</t>
  </si>
  <si>
    <t>Construct: College Leadership</t>
  </si>
  <si>
    <t>shares timely and relevant communication with the campus community.</t>
  </si>
  <si>
    <t>is visible and approachable.</t>
  </si>
  <si>
    <t>shares information I need to do my job.</t>
  </si>
  <si>
    <t>shows confidence in employees to do excellent work.</t>
  </si>
  <si>
    <t>encourages creative and innovative thinking.</t>
  </si>
  <si>
    <t>encourages collaboration between coworkers/departments.</t>
  </si>
  <si>
    <t>welcomes and values  input and feedback.</t>
  </si>
  <si>
    <t>builds a climate of trust and openness.</t>
  </si>
  <si>
    <t>provides a shared vision and clear direction for the future.</t>
  </si>
  <si>
    <t>provides effective institutional leadership.</t>
  </si>
  <si>
    <t>My campus engagement....</t>
  </si>
  <si>
    <t>Construct: Campus Engagement</t>
  </si>
  <si>
    <t>contributes to student success.</t>
  </si>
  <si>
    <t>fosters an inclusive environment.</t>
  </si>
  <si>
    <t>welcomes and values input and feedback.</t>
  </si>
  <si>
    <t>advances equity aligned with the Institutional Goals.</t>
  </si>
  <si>
    <t>supports innovation and expanded opportunity for students.</t>
  </si>
  <si>
    <t>encourages student engagement.</t>
  </si>
  <si>
    <t>Job Classification</t>
  </si>
  <si>
    <t>Demographics</t>
  </si>
  <si>
    <t>Administration/Management</t>
  </si>
  <si>
    <t>Classified</t>
  </si>
  <si>
    <t>Faculty</t>
  </si>
  <si>
    <t>Prefer not to respond</t>
  </si>
  <si>
    <t>Race/Ethnicity</t>
  </si>
  <si>
    <t>American Indian or Alaska Native</t>
  </si>
  <si>
    <t>Asian</t>
  </si>
  <si>
    <t>Black or African American</t>
  </si>
  <si>
    <t>Hispanic/Latinx</t>
  </si>
  <si>
    <t>Native Hawaiian or Pacific Islander</t>
  </si>
  <si>
    <t>White</t>
  </si>
  <si>
    <t>Two or More Races</t>
  </si>
  <si>
    <t>Prefer Not to Respond</t>
  </si>
  <si>
    <t>Note 1: Other write in responses included: American, Christian, Hispanic/Latino/a not x, Jewish, Mexican American, Why does it matter, Prefer not to respond because lack of diversity would identify me immediately!</t>
  </si>
  <si>
    <t>Note 2: Additionally, 7 individuals used the 'Other' race open textbox to provide insights/feedback about the college broadly.</t>
  </si>
  <si>
    <t>% Agree + % Strongly Agree</t>
  </si>
  <si>
    <t>Administration/ Management (n~30)</t>
  </si>
  <si>
    <t>Classified 
(n~117)</t>
  </si>
  <si>
    <t>Faculty 
(n~177)</t>
  </si>
  <si>
    <t>Prefer not to respond 
(n~42)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</si>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</sst>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scheme val="minor"/>
    </font>
    <font>
      <b/>
      <sz val="11"/>
      <color rgb="FFB04C19"/>
      <name val="Calibri (Body)"/>
    </font>
    <font>
      <b/>
      <i/>
      <sz val="11"/>
      <color theme="1"/>
      <name val="Calibri (Body)"/>
    </font>
    <font>
      <sz val="11"/>
      <color theme="1"/>
      <name val="Calibri (Body)"/>
    </font>
    <font>
      <b/>
      <sz val="11"/>
      <color theme="1"/>
      <name val="Calibri (Body)"/>
    </font>
    <font>
      <sz val="11"/>
      <name val="Calibri (Body)"/>
    </font>
    <font>
      <sz val="11"/>
      <color rgb="FFB04C19"/>
      <name val="Calibri (Body)"/>
    </font>
    <font>
      <sz val="11"/>
      <color rgb="FF333333"/>
      <name val="Calibri (Body)"/>
    </font>
    <font>
      <strike/>
      <sz val="11"/>
      <color rgb="FFB04C19"/>
      <name val="Calibri (Body)"/>
    </font>
    <font>
      <strike/>
      <sz val="11"/>
      <color rgb="FFFF0000"/>
      <name val="Calibri (Body)"/>
    </font>
    <font>
      <i/>
      <sz val="11"/>
      <color rgb="FFB04C19"/>
      <name val="Calibri (Body)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E1D5"/>
        <bgColor rgb="FFF9E1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B04C19"/>
      </bottom>
      <diagonal/>
    </border>
    <border>
      <left/>
      <right/>
      <top style="medium">
        <color rgb="FFB04C19"/>
      </top>
      <bottom style="medium">
        <color rgb="FFB04C19"/>
      </bottom>
      <diagonal/>
    </border>
    <border>
      <left/>
      <right/>
      <top/>
      <bottom style="medium">
        <color rgb="FFF3F3F3"/>
      </bottom>
      <diagonal/>
    </border>
    <border>
      <left/>
      <right/>
      <top style="medium">
        <color rgb="FFF3F3F3"/>
      </top>
      <bottom style="medium">
        <color rgb="FFF3F3F3"/>
      </bottom>
      <diagonal/>
    </border>
    <border>
      <left/>
      <right/>
      <top style="medium">
        <color rgb="FFF3F3F3"/>
      </top>
      <bottom style="medium">
        <color rgb="FFB04C19"/>
      </bottom>
      <diagonal/>
    </border>
    <border>
      <left/>
      <right/>
      <top style="medium">
        <color rgb="FFF3F3F3"/>
      </top>
      <bottom/>
      <diagonal/>
    </border>
    <border>
      <left/>
      <right/>
      <top style="medium">
        <color rgb="FFB04C19"/>
      </top>
      <bottom/>
      <diagonal/>
    </border>
    <border>
      <left/>
      <right/>
      <top/>
      <bottom style="medium">
        <color rgb="FFF3F3F3"/>
      </bottom>
      <diagonal/>
    </border>
    <border>
      <left/>
      <right/>
      <top style="medium">
        <color rgb="FFF3F3F3"/>
      </top>
      <bottom style="medium">
        <color rgb="FFF3F3F3"/>
      </bottom>
      <diagonal/>
    </border>
    <border>
      <left/>
      <right/>
      <top style="medium">
        <color rgb="FFF3F3F3"/>
      </top>
      <bottom style="medium">
        <color rgb="FFB04C1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theme="5" tint="-0.24994659260841701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2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6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wrapText="1"/>
    </xf>
    <xf numFmtId="0" fontId="6" fillId="0" borderId="4" xfId="0" applyFont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2" borderId="0" xfId="0" applyFont="1" applyFill="1"/>
    <xf numFmtId="0" fontId="6" fillId="2" borderId="0" xfId="0" applyFont="1" applyFill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3" fillId="0" borderId="7" xfId="0" applyFont="1" applyBorder="1"/>
    <xf numFmtId="0" fontId="10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6" fillId="3" borderId="3" xfId="0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9" fontId="6" fillId="3" borderId="3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9" fontId="6" fillId="0" borderId="5" xfId="0" applyNumberFormat="1" applyFont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9" fontId="6" fillId="3" borderId="4" xfId="0" applyNumberFormat="1" applyFont="1" applyFill="1" applyBorder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wrapText="1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4" borderId="0" xfId="0" applyFont="1" applyFill="1" applyAlignment="1">
      <alignment horizontal="left" vertical="center" wrapText="1"/>
    </xf>
    <xf numFmtId="164" fontId="6" fillId="5" borderId="0" xfId="0" applyNumberFormat="1" applyFont="1" applyFill="1" applyAlignment="1">
      <alignment horizontal="center"/>
    </xf>
    <xf numFmtId="0" fontId="6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8"/>
  <sheetViews>
    <sheetView tabSelected="1" workbookViewId="0">
      <selection activeCell="C82" sqref="C82"/>
    </sheetView>
  </sheetViews>
  <sheetFormatPr baseColWidth="10" defaultColWidth="14.5" defaultRowHeight="15" customHeight="1" x14ac:dyDescent="0.2"/>
  <cols>
    <col min="1" max="1" width="18.5" style="3" customWidth="1"/>
    <col min="2" max="2" width="95.6640625" style="3" customWidth="1"/>
    <col min="3" max="16" width="7.6640625" style="21" customWidth="1"/>
    <col min="17" max="17" width="9.6640625" style="21" customWidth="1"/>
    <col min="18" max="18" width="7" style="3" customWidth="1"/>
    <col min="19" max="20" width="9.5" style="3" customWidth="1"/>
    <col min="21" max="22" width="8.83203125" style="3" customWidth="1"/>
    <col min="23" max="16384" width="14.5" style="3"/>
  </cols>
  <sheetData>
    <row r="1" spans="1:22" ht="13.5" customHeight="1" x14ac:dyDescent="0.2">
      <c r="A1" s="1"/>
      <c r="B1" s="4"/>
      <c r="C1" s="35"/>
      <c r="D1" s="35"/>
      <c r="E1" s="35"/>
      <c r="F1" s="35"/>
      <c r="G1" s="35"/>
      <c r="H1" s="35"/>
      <c r="I1" s="36"/>
      <c r="J1" s="36"/>
      <c r="K1" s="37"/>
      <c r="L1" s="37"/>
      <c r="M1" s="37"/>
      <c r="N1" s="37"/>
      <c r="O1" s="37"/>
      <c r="P1" s="37"/>
      <c r="Q1" s="37"/>
      <c r="S1" s="17"/>
      <c r="T1" s="17"/>
    </row>
    <row r="2" spans="1:22" ht="13.5" customHeight="1" x14ac:dyDescent="0.2">
      <c r="A2" s="1"/>
      <c r="B2" s="4" t="s">
        <v>0</v>
      </c>
      <c r="C2" s="35"/>
      <c r="D2" s="35"/>
      <c r="E2" s="35"/>
      <c r="F2" s="35"/>
      <c r="G2" s="35"/>
      <c r="H2" s="35"/>
      <c r="I2" s="36"/>
      <c r="J2" s="36"/>
      <c r="K2" s="37"/>
      <c r="L2" s="37"/>
      <c r="M2" s="37"/>
      <c r="N2" s="37"/>
      <c r="O2" s="37"/>
      <c r="P2" s="37"/>
      <c r="Q2" s="37"/>
      <c r="S2" s="17"/>
      <c r="T2" s="17"/>
    </row>
    <row r="3" spans="1:22" ht="48" x14ac:dyDescent="0.2">
      <c r="A3" s="18"/>
      <c r="B3" s="19"/>
      <c r="C3" s="111" t="s">
        <v>1</v>
      </c>
      <c r="D3" s="107"/>
      <c r="E3" s="111" t="s">
        <v>2</v>
      </c>
      <c r="F3" s="107"/>
      <c r="G3" s="111" t="s">
        <v>3</v>
      </c>
      <c r="H3" s="107"/>
      <c r="I3" s="106" t="s">
        <v>4</v>
      </c>
      <c r="J3" s="107"/>
      <c r="K3" s="106" t="s">
        <v>5</v>
      </c>
      <c r="L3" s="107"/>
      <c r="M3" s="106" t="s">
        <v>6</v>
      </c>
      <c r="N3" s="107"/>
      <c r="O3" s="106" t="s">
        <v>7</v>
      </c>
      <c r="P3" s="107"/>
      <c r="Q3" s="20" t="s">
        <v>8</v>
      </c>
      <c r="R3" s="21"/>
      <c r="S3" s="20" t="s">
        <v>9</v>
      </c>
      <c r="T3" s="20" t="s">
        <v>10</v>
      </c>
      <c r="U3" s="21"/>
      <c r="V3" s="21"/>
    </row>
    <row r="4" spans="1:22" ht="13.5" customHeight="1" x14ac:dyDescent="0.2">
      <c r="A4" s="5"/>
      <c r="B4" s="5" t="s">
        <v>11</v>
      </c>
      <c r="C4" s="38" t="s">
        <v>12</v>
      </c>
      <c r="D4" s="27" t="s">
        <v>13</v>
      </c>
      <c r="E4" s="38" t="s">
        <v>12</v>
      </c>
      <c r="F4" s="27" t="s">
        <v>13</v>
      </c>
      <c r="G4" s="38" t="s">
        <v>12</v>
      </c>
      <c r="H4" s="27" t="s">
        <v>13</v>
      </c>
      <c r="I4" s="27" t="s">
        <v>12</v>
      </c>
      <c r="J4" s="27" t="s">
        <v>13</v>
      </c>
      <c r="K4" s="27" t="s">
        <v>12</v>
      </c>
      <c r="L4" s="27" t="s">
        <v>13</v>
      </c>
      <c r="M4" s="27" t="s">
        <v>12</v>
      </c>
      <c r="N4" s="27" t="s">
        <v>13</v>
      </c>
      <c r="O4" s="27" t="s">
        <v>12</v>
      </c>
      <c r="P4" s="27" t="s">
        <v>13</v>
      </c>
      <c r="Q4" s="39" t="s">
        <v>14</v>
      </c>
      <c r="S4" s="17"/>
      <c r="T4" s="17"/>
    </row>
    <row r="5" spans="1:22" ht="15" customHeight="1" x14ac:dyDescent="0.2">
      <c r="A5" s="108" t="s">
        <v>15</v>
      </c>
      <c r="B5" s="22" t="s">
        <v>16</v>
      </c>
      <c r="C5" s="40">
        <v>0.27400000000000002</v>
      </c>
      <c r="D5" s="41">
        <v>101</v>
      </c>
      <c r="E5" s="42">
        <v>0.50800000000000001</v>
      </c>
      <c r="F5" s="43">
        <v>187</v>
      </c>
      <c r="G5" s="42">
        <v>0.11700000000000001</v>
      </c>
      <c r="H5" s="43">
        <v>43</v>
      </c>
      <c r="I5" s="42">
        <v>7.2999999999999995E-2</v>
      </c>
      <c r="J5" s="43">
        <v>27</v>
      </c>
      <c r="K5" s="42">
        <v>1.4E-2</v>
      </c>
      <c r="L5" s="43">
        <v>5</v>
      </c>
      <c r="M5" s="42">
        <v>1.4E-2</v>
      </c>
      <c r="N5" s="43">
        <v>5</v>
      </c>
      <c r="O5" s="42">
        <v>1</v>
      </c>
      <c r="P5" s="43">
        <v>368</v>
      </c>
      <c r="Q5" s="44">
        <f t="shared" ref="Q5:Q13" si="0">((D5*5)+(F5*4)+(H5*3)+(J5*2)+L5)/(D5+F5+H5+J5+L5)</f>
        <v>3.9696969696969697</v>
      </c>
      <c r="S5" s="23">
        <f t="shared" ref="S5:S13" si="1">C5+E5</f>
        <v>0.78200000000000003</v>
      </c>
      <c r="T5" s="23">
        <f t="shared" ref="T5:T13" si="2">I5+K5</f>
        <v>8.6999999999999994E-2</v>
      </c>
    </row>
    <row r="6" spans="1:22" ht="15" customHeight="1" x14ac:dyDescent="0.2">
      <c r="A6" s="109"/>
      <c r="B6" s="24" t="s">
        <v>17</v>
      </c>
      <c r="C6" s="45">
        <v>0.112</v>
      </c>
      <c r="D6" s="46">
        <v>41</v>
      </c>
      <c r="E6" s="45">
        <v>0.29199999999999998</v>
      </c>
      <c r="F6" s="46">
        <v>107</v>
      </c>
      <c r="G6" s="45">
        <v>0.16700000000000001</v>
      </c>
      <c r="H6" s="46">
        <v>61</v>
      </c>
      <c r="I6" s="45">
        <v>0.246</v>
      </c>
      <c r="J6" s="47">
        <v>90</v>
      </c>
      <c r="K6" s="48">
        <v>0.17799999999999999</v>
      </c>
      <c r="L6" s="47">
        <v>65</v>
      </c>
      <c r="M6" s="48">
        <v>5.0000000000000001E-3</v>
      </c>
      <c r="N6" s="47">
        <v>2</v>
      </c>
      <c r="O6" s="48">
        <v>1</v>
      </c>
      <c r="P6" s="47">
        <v>366</v>
      </c>
      <c r="Q6" s="49">
        <f t="shared" si="0"/>
        <v>2.9148351648351647</v>
      </c>
      <c r="S6" s="23">
        <f t="shared" si="1"/>
        <v>0.40399999999999997</v>
      </c>
      <c r="T6" s="23">
        <f t="shared" si="2"/>
        <v>0.42399999999999999</v>
      </c>
    </row>
    <row r="7" spans="1:22" ht="15" customHeight="1" x14ac:dyDescent="0.2">
      <c r="A7" s="109"/>
      <c r="B7" s="25" t="s">
        <v>18</v>
      </c>
      <c r="C7" s="50">
        <v>0.13300000000000001</v>
      </c>
      <c r="D7" s="51">
        <v>49</v>
      </c>
      <c r="E7" s="50">
        <v>0.34699999999999998</v>
      </c>
      <c r="F7" s="51">
        <v>128</v>
      </c>
      <c r="G7" s="50">
        <v>0.19800000000000001</v>
      </c>
      <c r="H7" s="51">
        <v>73</v>
      </c>
      <c r="I7" s="50">
        <v>0.187</v>
      </c>
      <c r="J7" s="51">
        <v>69</v>
      </c>
      <c r="K7" s="50">
        <v>0.127</v>
      </c>
      <c r="L7" s="51">
        <v>47</v>
      </c>
      <c r="M7" s="50">
        <v>8.0000000000000002E-3</v>
      </c>
      <c r="N7" s="51">
        <v>3</v>
      </c>
      <c r="O7" s="50">
        <v>1</v>
      </c>
      <c r="P7" s="51">
        <v>369</v>
      </c>
      <c r="Q7" s="52">
        <f t="shared" si="0"/>
        <v>3.1721311475409837</v>
      </c>
      <c r="S7" s="23">
        <f t="shared" si="1"/>
        <v>0.48</v>
      </c>
      <c r="T7" s="23">
        <f t="shared" si="2"/>
        <v>0.314</v>
      </c>
    </row>
    <row r="8" spans="1:22" ht="15" customHeight="1" x14ac:dyDescent="0.2">
      <c r="A8" s="109"/>
      <c r="B8" s="24" t="s">
        <v>19</v>
      </c>
      <c r="C8" s="45">
        <v>0.155</v>
      </c>
      <c r="D8" s="46">
        <v>57</v>
      </c>
      <c r="E8" s="45">
        <v>0.28599999999999998</v>
      </c>
      <c r="F8" s="46">
        <v>105</v>
      </c>
      <c r="G8" s="45">
        <v>0.19600000000000001</v>
      </c>
      <c r="H8" s="46">
        <v>72</v>
      </c>
      <c r="I8" s="45">
        <v>0.23200000000000001</v>
      </c>
      <c r="J8" s="47">
        <v>85</v>
      </c>
      <c r="K8" s="48">
        <v>0.128</v>
      </c>
      <c r="L8" s="47">
        <v>47</v>
      </c>
      <c r="M8" s="48">
        <v>3.0000000000000001E-3</v>
      </c>
      <c r="N8" s="47">
        <v>1</v>
      </c>
      <c r="O8" s="48">
        <v>1</v>
      </c>
      <c r="P8" s="47">
        <v>367</v>
      </c>
      <c r="Q8" s="49">
        <f t="shared" si="0"/>
        <v>3.1092896174863389</v>
      </c>
      <c r="S8" s="23">
        <f t="shared" si="1"/>
        <v>0.44099999999999995</v>
      </c>
      <c r="T8" s="23">
        <f t="shared" si="2"/>
        <v>0.36</v>
      </c>
    </row>
    <row r="9" spans="1:22" ht="15" customHeight="1" x14ac:dyDescent="0.2">
      <c r="A9" s="109"/>
      <c r="B9" s="25" t="s">
        <v>20</v>
      </c>
      <c r="C9" s="53">
        <v>0.16500000000000001</v>
      </c>
      <c r="D9" s="54">
        <v>61</v>
      </c>
      <c r="E9" s="53">
        <v>0.47799999999999998</v>
      </c>
      <c r="F9" s="54">
        <v>177</v>
      </c>
      <c r="G9" s="53">
        <v>0.14299999999999999</v>
      </c>
      <c r="H9" s="54">
        <v>53</v>
      </c>
      <c r="I9" s="53">
        <v>0.14599999999999999</v>
      </c>
      <c r="J9" s="54">
        <v>54</v>
      </c>
      <c r="K9" s="53">
        <v>6.5000000000000002E-2</v>
      </c>
      <c r="L9" s="54">
        <v>24</v>
      </c>
      <c r="M9" s="53">
        <v>3.0000000000000001E-3</v>
      </c>
      <c r="N9" s="51">
        <v>1</v>
      </c>
      <c r="O9" s="50">
        <v>1</v>
      </c>
      <c r="P9" s="51">
        <v>370</v>
      </c>
      <c r="Q9" s="52">
        <f t="shared" si="0"/>
        <v>3.5338753387533877</v>
      </c>
      <c r="S9" s="23">
        <f t="shared" si="1"/>
        <v>0.64300000000000002</v>
      </c>
      <c r="T9" s="23">
        <f t="shared" si="2"/>
        <v>0.21099999999999999</v>
      </c>
    </row>
    <row r="10" spans="1:22" ht="15" customHeight="1" x14ac:dyDescent="0.2">
      <c r="A10" s="109"/>
      <c r="B10" s="24" t="s">
        <v>21</v>
      </c>
      <c r="C10" s="55">
        <v>9.6000000000000002E-2</v>
      </c>
      <c r="D10" s="56">
        <v>35</v>
      </c>
      <c r="E10" s="55">
        <v>0.28499999999999998</v>
      </c>
      <c r="F10" s="56">
        <v>104</v>
      </c>
      <c r="G10" s="55">
        <v>0.17799999999999999</v>
      </c>
      <c r="H10" s="56">
        <v>65</v>
      </c>
      <c r="I10" s="55">
        <v>0.27100000000000002</v>
      </c>
      <c r="J10" s="57">
        <v>99</v>
      </c>
      <c r="K10" s="58">
        <v>0.16400000000000001</v>
      </c>
      <c r="L10" s="57">
        <v>60</v>
      </c>
      <c r="M10" s="58">
        <v>5.0000000000000001E-3</v>
      </c>
      <c r="N10" s="47">
        <v>2</v>
      </c>
      <c r="O10" s="48">
        <v>1</v>
      </c>
      <c r="P10" s="47">
        <v>365</v>
      </c>
      <c r="Q10" s="49">
        <f t="shared" si="0"/>
        <v>2.8760330578512399</v>
      </c>
      <c r="S10" s="23">
        <f t="shared" si="1"/>
        <v>0.38100000000000001</v>
      </c>
      <c r="T10" s="23">
        <f t="shared" si="2"/>
        <v>0.43500000000000005</v>
      </c>
    </row>
    <row r="11" spans="1:22" ht="15" customHeight="1" x14ac:dyDescent="0.2">
      <c r="A11" s="109"/>
      <c r="B11" s="25" t="s">
        <v>22</v>
      </c>
      <c r="C11" s="53">
        <v>8.4000000000000005E-2</v>
      </c>
      <c r="D11" s="54">
        <v>31</v>
      </c>
      <c r="E11" s="53">
        <v>0.251</v>
      </c>
      <c r="F11" s="54">
        <v>93</v>
      </c>
      <c r="G11" s="53">
        <v>0.21099999999999999</v>
      </c>
      <c r="H11" s="54">
        <v>78</v>
      </c>
      <c r="I11" s="53">
        <v>0.254</v>
      </c>
      <c r="J11" s="54">
        <v>94</v>
      </c>
      <c r="K11" s="53">
        <v>0.184</v>
      </c>
      <c r="L11" s="54">
        <v>68</v>
      </c>
      <c r="M11" s="53">
        <v>1.6E-2</v>
      </c>
      <c r="N11" s="51">
        <v>6</v>
      </c>
      <c r="O11" s="50">
        <v>1</v>
      </c>
      <c r="P11" s="51">
        <v>370</v>
      </c>
      <c r="Q11" s="52">
        <f t="shared" si="0"/>
        <v>2.7939560439560438</v>
      </c>
      <c r="S11" s="23">
        <f t="shared" si="1"/>
        <v>0.33500000000000002</v>
      </c>
      <c r="T11" s="23">
        <f t="shared" si="2"/>
        <v>0.438</v>
      </c>
    </row>
    <row r="12" spans="1:22" ht="15" customHeight="1" x14ac:dyDescent="0.2">
      <c r="A12" s="109"/>
      <c r="B12" s="24" t="s">
        <v>23</v>
      </c>
      <c r="C12" s="55">
        <v>7.5999999999999998E-2</v>
      </c>
      <c r="D12" s="56">
        <v>28</v>
      </c>
      <c r="E12" s="55">
        <v>0.27400000000000002</v>
      </c>
      <c r="F12" s="56">
        <v>101</v>
      </c>
      <c r="G12" s="55">
        <v>0.23799999999999999</v>
      </c>
      <c r="H12" s="56">
        <v>88</v>
      </c>
      <c r="I12" s="55">
        <v>0.20899999999999999</v>
      </c>
      <c r="J12" s="57">
        <v>77</v>
      </c>
      <c r="K12" s="58">
        <v>0.19500000000000001</v>
      </c>
      <c r="L12" s="57">
        <v>72</v>
      </c>
      <c r="M12" s="58">
        <v>8.0000000000000002E-3</v>
      </c>
      <c r="N12" s="47">
        <v>3</v>
      </c>
      <c r="O12" s="48">
        <v>1</v>
      </c>
      <c r="P12" s="47">
        <v>369</v>
      </c>
      <c r="Q12" s="49">
        <f t="shared" si="0"/>
        <v>2.8251366120218577</v>
      </c>
      <c r="S12" s="23">
        <f t="shared" si="1"/>
        <v>0.35000000000000003</v>
      </c>
      <c r="T12" s="23">
        <f t="shared" si="2"/>
        <v>0.40400000000000003</v>
      </c>
    </row>
    <row r="13" spans="1:22" ht="15" customHeight="1" thickBot="1" x14ac:dyDescent="0.25">
      <c r="A13" s="109"/>
      <c r="B13" s="26" t="s">
        <v>24</v>
      </c>
      <c r="C13" s="59">
        <v>0.155</v>
      </c>
      <c r="D13" s="60">
        <v>57</v>
      </c>
      <c r="E13" s="59">
        <v>0.30199999999999999</v>
      </c>
      <c r="F13" s="60">
        <v>111</v>
      </c>
      <c r="G13" s="59">
        <v>0.27800000000000002</v>
      </c>
      <c r="H13" s="60">
        <v>102</v>
      </c>
      <c r="I13" s="59">
        <v>0.183</v>
      </c>
      <c r="J13" s="60">
        <v>67</v>
      </c>
      <c r="K13" s="59">
        <v>7.5999999999999998E-2</v>
      </c>
      <c r="L13" s="60">
        <v>28</v>
      </c>
      <c r="M13" s="59">
        <v>5.0000000000000001E-3</v>
      </c>
      <c r="N13" s="60">
        <v>2</v>
      </c>
      <c r="O13" s="59">
        <v>1</v>
      </c>
      <c r="P13" s="60">
        <v>367</v>
      </c>
      <c r="Q13" s="61">
        <f t="shared" si="0"/>
        <v>3.2794520547945205</v>
      </c>
      <c r="S13" s="23">
        <f t="shared" si="1"/>
        <v>0.45699999999999996</v>
      </c>
      <c r="T13" s="23">
        <f t="shared" si="2"/>
        <v>0.25900000000000001</v>
      </c>
    </row>
    <row r="14" spans="1:22" ht="13.5" customHeight="1" x14ac:dyDescent="0.2">
      <c r="A14" s="105"/>
      <c r="B14" s="100"/>
      <c r="C14" s="100"/>
      <c r="D14" s="100"/>
      <c r="E14" s="100"/>
      <c r="F14" s="100"/>
      <c r="G14" s="101"/>
      <c r="H14" s="101"/>
      <c r="Q14" s="62"/>
      <c r="S14" s="17"/>
      <c r="T14" s="17"/>
    </row>
    <row r="15" spans="1:22" ht="49" thickBot="1" x14ac:dyDescent="0.25">
      <c r="A15" s="18"/>
      <c r="B15" s="19"/>
      <c r="C15" s="111" t="s">
        <v>1</v>
      </c>
      <c r="D15" s="107"/>
      <c r="E15" s="111" t="s">
        <v>2</v>
      </c>
      <c r="F15" s="107"/>
      <c r="G15" s="111" t="s">
        <v>3</v>
      </c>
      <c r="H15" s="107"/>
      <c r="I15" s="106" t="s">
        <v>4</v>
      </c>
      <c r="J15" s="107"/>
      <c r="K15" s="106" t="s">
        <v>5</v>
      </c>
      <c r="L15" s="107"/>
      <c r="M15" s="106" t="s">
        <v>6</v>
      </c>
      <c r="N15" s="107"/>
      <c r="O15" s="106" t="s">
        <v>7</v>
      </c>
      <c r="P15" s="107"/>
      <c r="Q15" s="27" t="s">
        <v>8</v>
      </c>
      <c r="R15" s="21"/>
      <c r="S15" s="20" t="s">
        <v>9</v>
      </c>
      <c r="T15" s="20" t="s">
        <v>10</v>
      </c>
      <c r="U15" s="21"/>
      <c r="V15" s="21"/>
    </row>
    <row r="16" spans="1:22" ht="13.5" customHeight="1" x14ac:dyDescent="0.2">
      <c r="A16" s="5"/>
      <c r="B16" s="5"/>
      <c r="C16" s="38" t="s">
        <v>12</v>
      </c>
      <c r="D16" s="27" t="s">
        <v>13</v>
      </c>
      <c r="E16" s="38" t="s">
        <v>12</v>
      </c>
      <c r="F16" s="27" t="s">
        <v>13</v>
      </c>
      <c r="G16" s="38" t="s">
        <v>12</v>
      </c>
      <c r="H16" s="27" t="s">
        <v>13</v>
      </c>
      <c r="I16" s="27" t="s">
        <v>12</v>
      </c>
      <c r="J16" s="27" t="s">
        <v>13</v>
      </c>
      <c r="K16" s="27" t="s">
        <v>12</v>
      </c>
      <c r="L16" s="27" t="s">
        <v>13</v>
      </c>
      <c r="M16" s="27" t="s">
        <v>12</v>
      </c>
      <c r="N16" s="27" t="s">
        <v>13</v>
      </c>
      <c r="O16" s="27" t="s">
        <v>12</v>
      </c>
      <c r="P16" s="27" t="s">
        <v>13</v>
      </c>
      <c r="Q16" s="27" t="s">
        <v>14</v>
      </c>
      <c r="S16" s="17"/>
      <c r="T16" s="17"/>
    </row>
    <row r="17" spans="1:22" ht="15" customHeight="1" x14ac:dyDescent="0.2">
      <c r="A17" s="108" t="s">
        <v>25</v>
      </c>
      <c r="B17" s="22" t="s">
        <v>26</v>
      </c>
      <c r="C17" s="63">
        <v>0.123</v>
      </c>
      <c r="D17" s="64">
        <v>45</v>
      </c>
      <c r="E17" s="63">
        <v>0.34300000000000003</v>
      </c>
      <c r="F17" s="64">
        <v>126</v>
      </c>
      <c r="G17" s="63">
        <v>0.22600000000000001</v>
      </c>
      <c r="H17" s="64">
        <v>83</v>
      </c>
      <c r="I17" s="63">
        <v>0.185</v>
      </c>
      <c r="J17" s="64">
        <v>68</v>
      </c>
      <c r="K17" s="63">
        <v>8.2000000000000003E-2</v>
      </c>
      <c r="L17" s="64">
        <v>30</v>
      </c>
      <c r="M17" s="63">
        <v>4.1000000000000002E-2</v>
      </c>
      <c r="N17" s="64">
        <v>15</v>
      </c>
      <c r="O17" s="63">
        <v>1</v>
      </c>
      <c r="P17" s="43">
        <v>367</v>
      </c>
      <c r="Q17" s="44">
        <f t="shared" ref="Q17:Q21" si="3">((D17*5)+(F17*4)+(H17*3)+(J17*2)+L17)/(D17+F17+H17+J17+L17)</f>
        <v>3.25</v>
      </c>
      <c r="S17" s="23">
        <f t="shared" ref="S17:S21" si="4">C17+E17</f>
        <v>0.46600000000000003</v>
      </c>
      <c r="T17" s="23">
        <f t="shared" ref="T17:T21" si="5">I17+K17</f>
        <v>0.26700000000000002</v>
      </c>
    </row>
    <row r="18" spans="1:22" ht="15" customHeight="1" x14ac:dyDescent="0.2">
      <c r="A18" s="109"/>
      <c r="B18" s="24" t="s">
        <v>27</v>
      </c>
      <c r="C18" s="55">
        <v>0.188</v>
      </c>
      <c r="D18" s="56">
        <v>69</v>
      </c>
      <c r="E18" s="55">
        <v>0.48199999999999998</v>
      </c>
      <c r="F18" s="56">
        <v>177</v>
      </c>
      <c r="G18" s="55">
        <v>0.155</v>
      </c>
      <c r="H18" s="56">
        <v>57</v>
      </c>
      <c r="I18" s="55">
        <v>6.5000000000000002E-2</v>
      </c>
      <c r="J18" s="57">
        <v>24</v>
      </c>
      <c r="K18" s="58">
        <v>0.03</v>
      </c>
      <c r="L18" s="57">
        <v>11</v>
      </c>
      <c r="M18" s="58">
        <v>7.9000000000000001E-2</v>
      </c>
      <c r="N18" s="57">
        <v>29</v>
      </c>
      <c r="O18" s="58">
        <v>1</v>
      </c>
      <c r="P18" s="47">
        <v>367</v>
      </c>
      <c r="Q18" s="49">
        <f t="shared" si="3"/>
        <v>3.7958579881656807</v>
      </c>
      <c r="S18" s="23">
        <f t="shared" si="4"/>
        <v>0.66999999999999993</v>
      </c>
      <c r="T18" s="23">
        <f t="shared" si="5"/>
        <v>9.5000000000000001E-2</v>
      </c>
    </row>
    <row r="19" spans="1:22" ht="15" customHeight="1" x14ac:dyDescent="0.2">
      <c r="A19" s="109"/>
      <c r="B19" s="25" t="s">
        <v>28</v>
      </c>
      <c r="C19" s="53">
        <v>9.2999999999999999E-2</v>
      </c>
      <c r="D19" s="54">
        <v>34</v>
      </c>
      <c r="E19" s="53">
        <v>0.191</v>
      </c>
      <c r="F19" s="54">
        <v>70</v>
      </c>
      <c r="G19" s="53">
        <v>0.161</v>
      </c>
      <c r="H19" s="54">
        <v>59</v>
      </c>
      <c r="I19" s="53">
        <v>0.24299999999999999</v>
      </c>
      <c r="J19" s="54">
        <v>89</v>
      </c>
      <c r="K19" s="53">
        <v>0.20799999999999999</v>
      </c>
      <c r="L19" s="54">
        <v>76</v>
      </c>
      <c r="M19" s="53">
        <v>0.104</v>
      </c>
      <c r="N19" s="54">
        <v>38</v>
      </c>
      <c r="O19" s="53">
        <v>1</v>
      </c>
      <c r="P19" s="51">
        <v>366</v>
      </c>
      <c r="Q19" s="52">
        <f t="shared" si="3"/>
        <v>2.6859756097560976</v>
      </c>
      <c r="S19" s="23">
        <f t="shared" si="4"/>
        <v>0.28400000000000003</v>
      </c>
      <c r="T19" s="23">
        <f t="shared" si="5"/>
        <v>0.45099999999999996</v>
      </c>
    </row>
    <row r="20" spans="1:22" ht="15" customHeight="1" x14ac:dyDescent="0.2">
      <c r="A20" s="109"/>
      <c r="B20" s="24" t="s">
        <v>29</v>
      </c>
      <c r="C20" s="55">
        <v>0.14699999999999999</v>
      </c>
      <c r="D20" s="56">
        <v>54</v>
      </c>
      <c r="E20" s="55">
        <v>0.28100000000000003</v>
      </c>
      <c r="F20" s="56">
        <v>103</v>
      </c>
      <c r="G20" s="55">
        <v>0.14399999999999999</v>
      </c>
      <c r="H20" s="56">
        <v>53</v>
      </c>
      <c r="I20" s="55">
        <v>0.20699999999999999</v>
      </c>
      <c r="J20" s="57">
        <v>76</v>
      </c>
      <c r="K20" s="58">
        <v>0.16300000000000001</v>
      </c>
      <c r="L20" s="57">
        <v>60</v>
      </c>
      <c r="M20" s="58">
        <v>5.7000000000000002E-2</v>
      </c>
      <c r="N20" s="57">
        <v>21</v>
      </c>
      <c r="O20" s="58">
        <v>1</v>
      </c>
      <c r="P20" s="47">
        <v>367</v>
      </c>
      <c r="Q20" s="49">
        <f t="shared" si="3"/>
        <v>3.0433526011560694</v>
      </c>
      <c r="S20" s="23">
        <f t="shared" si="4"/>
        <v>0.42800000000000005</v>
      </c>
      <c r="T20" s="23">
        <f t="shared" si="5"/>
        <v>0.37</v>
      </c>
    </row>
    <row r="21" spans="1:22" ht="15" customHeight="1" x14ac:dyDescent="0.2">
      <c r="A21" s="110"/>
      <c r="B21" s="26" t="s">
        <v>30</v>
      </c>
      <c r="C21" s="65">
        <v>0.104</v>
      </c>
      <c r="D21" s="66">
        <v>38</v>
      </c>
      <c r="E21" s="65">
        <v>0.34100000000000003</v>
      </c>
      <c r="F21" s="66">
        <v>125</v>
      </c>
      <c r="G21" s="65">
        <v>0.253</v>
      </c>
      <c r="H21" s="66">
        <v>93</v>
      </c>
      <c r="I21" s="65">
        <v>0.185</v>
      </c>
      <c r="J21" s="66">
        <v>68</v>
      </c>
      <c r="K21" s="65">
        <v>0.114</v>
      </c>
      <c r="L21" s="66">
        <v>42</v>
      </c>
      <c r="M21" s="65">
        <v>3.0000000000000001E-3</v>
      </c>
      <c r="N21" s="66">
        <v>1</v>
      </c>
      <c r="O21" s="65">
        <v>1</v>
      </c>
      <c r="P21" s="60">
        <v>367</v>
      </c>
      <c r="Q21" s="61">
        <f t="shared" si="3"/>
        <v>3.1338797814207648</v>
      </c>
      <c r="S21" s="23">
        <f t="shared" si="4"/>
        <v>0.44500000000000001</v>
      </c>
      <c r="T21" s="23">
        <f t="shared" si="5"/>
        <v>0.29899999999999999</v>
      </c>
    </row>
    <row r="22" spans="1:22" ht="13.5" customHeight="1" x14ac:dyDescent="0.2">
      <c r="A22" s="1"/>
      <c r="B22" s="4"/>
      <c r="C22" s="100"/>
      <c r="D22" s="100"/>
      <c r="E22" s="100"/>
      <c r="F22" s="101"/>
      <c r="G22" s="101"/>
      <c r="H22" s="100"/>
      <c r="I22" s="100"/>
      <c r="J22" s="100"/>
      <c r="K22" s="100"/>
      <c r="L22" s="100"/>
      <c r="M22" s="100"/>
      <c r="N22" s="100"/>
      <c r="O22" s="100"/>
      <c r="Q22" s="62"/>
      <c r="S22" s="17"/>
      <c r="T22" s="17"/>
    </row>
    <row r="23" spans="1:22" ht="48" x14ac:dyDescent="0.2">
      <c r="A23" s="18"/>
      <c r="B23" s="19"/>
      <c r="C23" s="111" t="s">
        <v>31</v>
      </c>
      <c r="D23" s="107"/>
      <c r="E23" s="111" t="s">
        <v>32</v>
      </c>
      <c r="F23" s="107"/>
      <c r="G23" s="111" t="s">
        <v>33</v>
      </c>
      <c r="H23" s="107"/>
      <c r="I23" s="111" t="s">
        <v>34</v>
      </c>
      <c r="J23" s="107"/>
      <c r="K23" s="111" t="s">
        <v>35</v>
      </c>
      <c r="L23" s="107"/>
      <c r="M23" s="111" t="s">
        <v>6</v>
      </c>
      <c r="N23" s="107"/>
      <c r="O23" s="111" t="s">
        <v>7</v>
      </c>
      <c r="P23" s="107"/>
      <c r="Q23" s="27" t="s">
        <v>8</v>
      </c>
      <c r="R23" s="21"/>
      <c r="S23" s="20" t="s">
        <v>9</v>
      </c>
      <c r="T23" s="20" t="s">
        <v>10</v>
      </c>
      <c r="U23" s="21"/>
      <c r="V23" s="21"/>
    </row>
    <row r="24" spans="1:22" ht="16" x14ac:dyDescent="0.2">
      <c r="A24" s="5"/>
      <c r="B24" s="5" t="s">
        <v>11</v>
      </c>
      <c r="C24" s="38" t="s">
        <v>12</v>
      </c>
      <c r="D24" s="27" t="s">
        <v>13</v>
      </c>
      <c r="E24" s="38" t="s">
        <v>12</v>
      </c>
      <c r="F24" s="27" t="s">
        <v>13</v>
      </c>
      <c r="G24" s="38" t="s">
        <v>12</v>
      </c>
      <c r="H24" s="27" t="s">
        <v>13</v>
      </c>
      <c r="I24" s="27" t="s">
        <v>12</v>
      </c>
      <c r="J24" s="27" t="s">
        <v>13</v>
      </c>
      <c r="K24" s="27" t="s">
        <v>12</v>
      </c>
      <c r="L24" s="27" t="s">
        <v>13</v>
      </c>
      <c r="M24" s="27" t="s">
        <v>12</v>
      </c>
      <c r="N24" s="27" t="s">
        <v>13</v>
      </c>
      <c r="O24" s="27" t="s">
        <v>12</v>
      </c>
      <c r="P24" s="27" t="s">
        <v>13</v>
      </c>
      <c r="Q24" s="27" t="s">
        <v>14</v>
      </c>
      <c r="S24" s="17"/>
      <c r="T24" s="17"/>
    </row>
    <row r="25" spans="1:22" ht="15" customHeight="1" x14ac:dyDescent="0.2">
      <c r="A25" s="108" t="s">
        <v>36</v>
      </c>
      <c r="B25" s="22" t="s">
        <v>37</v>
      </c>
      <c r="C25" s="63">
        <v>5.3999999999999999E-2</v>
      </c>
      <c r="D25" s="64">
        <v>20</v>
      </c>
      <c r="E25" s="63">
        <v>0.30599999999999999</v>
      </c>
      <c r="F25" s="64">
        <v>113</v>
      </c>
      <c r="G25" s="63">
        <v>0.214</v>
      </c>
      <c r="H25" s="64">
        <v>79</v>
      </c>
      <c r="I25" s="63">
        <v>0.29299999999999998</v>
      </c>
      <c r="J25" s="64">
        <v>108</v>
      </c>
      <c r="K25" s="63">
        <v>0.13</v>
      </c>
      <c r="L25" s="64">
        <v>48</v>
      </c>
      <c r="M25" s="63">
        <v>3.0000000000000001E-3</v>
      </c>
      <c r="N25" s="64">
        <v>1</v>
      </c>
      <c r="O25" s="67">
        <v>1</v>
      </c>
      <c r="P25" s="43">
        <v>369</v>
      </c>
      <c r="Q25" s="44">
        <f t="shared" ref="Q25:Q32" si="6">((D25*5)+(F25*4)+(H25*3)+(J25*2)+L25)/(D25+F25+H25+J25+L25)</f>
        <v>2.8614130434782608</v>
      </c>
      <c r="S25" s="23">
        <f t="shared" ref="S25:S32" si="7">C25+E25</f>
        <v>0.36</v>
      </c>
      <c r="T25" s="23">
        <f t="shared" ref="T25:T32" si="8">I25+K25</f>
        <v>0.42299999999999999</v>
      </c>
    </row>
    <row r="26" spans="1:22" ht="15" customHeight="1" x14ac:dyDescent="0.2">
      <c r="A26" s="109"/>
      <c r="B26" s="24" t="s">
        <v>38</v>
      </c>
      <c r="C26" s="55">
        <v>3.7999999999999999E-2</v>
      </c>
      <c r="D26" s="56">
        <v>14</v>
      </c>
      <c r="E26" s="55">
        <v>0.23100000000000001</v>
      </c>
      <c r="F26" s="56">
        <v>85</v>
      </c>
      <c r="G26" s="55">
        <v>0.32900000000000001</v>
      </c>
      <c r="H26" s="56">
        <v>121</v>
      </c>
      <c r="I26" s="55">
        <v>0.217</v>
      </c>
      <c r="J26" s="57">
        <v>80</v>
      </c>
      <c r="K26" s="58">
        <v>0.13900000000000001</v>
      </c>
      <c r="L26" s="57">
        <v>51</v>
      </c>
      <c r="M26" s="58">
        <v>4.5999999999999999E-2</v>
      </c>
      <c r="N26" s="57">
        <v>17</v>
      </c>
      <c r="O26" s="68">
        <v>1</v>
      </c>
      <c r="P26" s="47">
        <v>368</v>
      </c>
      <c r="Q26" s="49">
        <f t="shared" si="6"/>
        <v>2.8034188034188032</v>
      </c>
      <c r="S26" s="23">
        <f t="shared" si="7"/>
        <v>0.26900000000000002</v>
      </c>
      <c r="T26" s="23">
        <f t="shared" si="8"/>
        <v>0.35599999999999998</v>
      </c>
    </row>
    <row r="27" spans="1:22" ht="15" customHeight="1" x14ac:dyDescent="0.2">
      <c r="A27" s="109"/>
      <c r="B27" s="25" t="s">
        <v>39</v>
      </c>
      <c r="C27" s="53">
        <v>7.9000000000000001E-2</v>
      </c>
      <c r="D27" s="54">
        <v>29</v>
      </c>
      <c r="E27" s="53">
        <v>0.32500000000000001</v>
      </c>
      <c r="F27" s="54">
        <v>120</v>
      </c>
      <c r="G27" s="53">
        <v>0.23</v>
      </c>
      <c r="H27" s="54">
        <v>85</v>
      </c>
      <c r="I27" s="53">
        <v>0.24399999999999999</v>
      </c>
      <c r="J27" s="54">
        <v>90</v>
      </c>
      <c r="K27" s="53">
        <v>0.122</v>
      </c>
      <c r="L27" s="54">
        <v>45</v>
      </c>
      <c r="M27" s="53">
        <v>0</v>
      </c>
      <c r="N27" s="54">
        <v>0</v>
      </c>
      <c r="O27" s="69">
        <v>1</v>
      </c>
      <c r="P27" s="51">
        <v>369</v>
      </c>
      <c r="Q27" s="52">
        <f t="shared" si="6"/>
        <v>2.9945799457994582</v>
      </c>
      <c r="S27" s="23">
        <f t="shared" si="7"/>
        <v>0.40400000000000003</v>
      </c>
      <c r="T27" s="23">
        <f t="shared" si="8"/>
        <v>0.36599999999999999</v>
      </c>
    </row>
    <row r="28" spans="1:22" ht="15" customHeight="1" x14ac:dyDescent="0.2">
      <c r="A28" s="109"/>
      <c r="B28" s="24" t="s">
        <v>40</v>
      </c>
      <c r="C28" s="55">
        <v>9.8000000000000004E-2</v>
      </c>
      <c r="D28" s="56">
        <v>36</v>
      </c>
      <c r="E28" s="55">
        <v>0.42399999999999999</v>
      </c>
      <c r="F28" s="56">
        <v>156</v>
      </c>
      <c r="G28" s="55">
        <v>0.30199999999999999</v>
      </c>
      <c r="H28" s="56">
        <v>111</v>
      </c>
      <c r="I28" s="55">
        <v>6.8000000000000005E-2</v>
      </c>
      <c r="J28" s="57">
        <v>25</v>
      </c>
      <c r="K28" s="58">
        <v>4.5999999999999999E-2</v>
      </c>
      <c r="L28" s="57">
        <v>17</v>
      </c>
      <c r="M28" s="58">
        <v>6.3E-2</v>
      </c>
      <c r="N28" s="47">
        <v>23</v>
      </c>
      <c r="O28" s="70">
        <v>1</v>
      </c>
      <c r="P28" s="47">
        <v>368</v>
      </c>
      <c r="Q28" s="49">
        <f t="shared" si="6"/>
        <v>3.4898550724637682</v>
      </c>
      <c r="S28" s="23">
        <f t="shared" si="7"/>
        <v>0.52200000000000002</v>
      </c>
      <c r="T28" s="23">
        <f t="shared" si="8"/>
        <v>0.114</v>
      </c>
    </row>
    <row r="29" spans="1:22" ht="15" customHeight="1" x14ac:dyDescent="0.2">
      <c r="A29" s="109"/>
      <c r="B29" s="25" t="s">
        <v>41</v>
      </c>
      <c r="C29" s="53">
        <v>0.106</v>
      </c>
      <c r="D29" s="54">
        <v>39</v>
      </c>
      <c r="E29" s="53">
        <v>0.43099999999999999</v>
      </c>
      <c r="F29" s="54">
        <v>159</v>
      </c>
      <c r="G29" s="53">
        <v>0.222</v>
      </c>
      <c r="H29" s="54">
        <v>82</v>
      </c>
      <c r="I29" s="53">
        <v>0.14099999999999999</v>
      </c>
      <c r="J29" s="54">
        <v>52</v>
      </c>
      <c r="K29" s="53">
        <v>8.6999999999999994E-2</v>
      </c>
      <c r="L29" s="54">
        <v>32</v>
      </c>
      <c r="M29" s="53">
        <v>1.4E-2</v>
      </c>
      <c r="N29" s="54">
        <v>5</v>
      </c>
      <c r="O29" s="69">
        <v>1</v>
      </c>
      <c r="P29" s="51">
        <v>369</v>
      </c>
      <c r="Q29" s="52">
        <f t="shared" si="6"/>
        <v>3.3324175824175826</v>
      </c>
      <c r="S29" s="23">
        <f t="shared" si="7"/>
        <v>0.53700000000000003</v>
      </c>
      <c r="T29" s="23">
        <f t="shared" si="8"/>
        <v>0.22799999999999998</v>
      </c>
    </row>
    <row r="30" spans="1:22" ht="15" customHeight="1" x14ac:dyDescent="0.2">
      <c r="A30" s="109"/>
      <c r="B30" s="24" t="s">
        <v>42</v>
      </c>
      <c r="C30" s="55">
        <v>3.3000000000000002E-2</v>
      </c>
      <c r="D30" s="56">
        <v>12</v>
      </c>
      <c r="E30" s="55">
        <v>0.22500000000000001</v>
      </c>
      <c r="F30" s="56">
        <v>83</v>
      </c>
      <c r="G30" s="55">
        <v>0.32200000000000001</v>
      </c>
      <c r="H30" s="56">
        <v>119</v>
      </c>
      <c r="I30" s="55">
        <v>0.19500000000000001</v>
      </c>
      <c r="J30" s="57">
        <v>72</v>
      </c>
      <c r="K30" s="58">
        <v>0.187</v>
      </c>
      <c r="L30" s="57">
        <v>69</v>
      </c>
      <c r="M30" s="58">
        <v>3.7999999999999999E-2</v>
      </c>
      <c r="N30" s="57">
        <v>14</v>
      </c>
      <c r="O30" s="68">
        <v>1</v>
      </c>
      <c r="P30" s="47">
        <v>369</v>
      </c>
      <c r="Q30" s="49">
        <f t="shared" si="6"/>
        <v>2.7098591549295774</v>
      </c>
      <c r="S30" s="23">
        <f t="shared" si="7"/>
        <v>0.25800000000000001</v>
      </c>
      <c r="T30" s="23">
        <f t="shared" si="8"/>
        <v>0.38200000000000001</v>
      </c>
    </row>
    <row r="31" spans="1:22" ht="15" customHeight="1" x14ac:dyDescent="0.2">
      <c r="A31" s="109"/>
      <c r="B31" s="25" t="s">
        <v>43</v>
      </c>
      <c r="C31" s="53">
        <v>7.3999999999999996E-2</v>
      </c>
      <c r="D31" s="54">
        <v>27</v>
      </c>
      <c r="E31" s="53">
        <v>0.3</v>
      </c>
      <c r="F31" s="54">
        <v>110</v>
      </c>
      <c r="G31" s="53">
        <v>0.33</v>
      </c>
      <c r="H31" s="54">
        <v>121</v>
      </c>
      <c r="I31" s="53">
        <v>0.17399999999999999</v>
      </c>
      <c r="J31" s="54">
        <v>64</v>
      </c>
      <c r="K31" s="53">
        <v>8.2000000000000003E-2</v>
      </c>
      <c r="L31" s="54">
        <v>30</v>
      </c>
      <c r="M31" s="53">
        <v>4.1000000000000002E-2</v>
      </c>
      <c r="N31" s="54">
        <v>15</v>
      </c>
      <c r="O31" s="69">
        <v>1</v>
      </c>
      <c r="P31" s="51">
        <v>367</v>
      </c>
      <c r="Q31" s="52">
        <f t="shared" si="6"/>
        <v>3.1136363636363638</v>
      </c>
      <c r="S31" s="23">
        <f t="shared" si="7"/>
        <v>0.374</v>
      </c>
      <c r="T31" s="23">
        <f t="shared" si="8"/>
        <v>0.25600000000000001</v>
      </c>
    </row>
    <row r="32" spans="1:22" ht="15" customHeight="1" x14ac:dyDescent="0.2">
      <c r="A32" s="110"/>
      <c r="B32" s="28" t="s">
        <v>44</v>
      </c>
      <c r="C32" s="71">
        <v>8.4000000000000005E-2</v>
      </c>
      <c r="D32" s="72">
        <v>31</v>
      </c>
      <c r="E32" s="71">
        <v>0.40600000000000003</v>
      </c>
      <c r="F32" s="72">
        <v>149</v>
      </c>
      <c r="G32" s="71">
        <v>0.27200000000000002</v>
      </c>
      <c r="H32" s="72">
        <v>100</v>
      </c>
      <c r="I32" s="71">
        <v>0.16600000000000001</v>
      </c>
      <c r="J32" s="73">
        <v>61</v>
      </c>
      <c r="K32" s="74">
        <v>7.0999999999999994E-2</v>
      </c>
      <c r="L32" s="73">
        <v>26</v>
      </c>
      <c r="M32" s="75">
        <v>0</v>
      </c>
      <c r="N32" s="73">
        <v>0</v>
      </c>
      <c r="O32" s="75">
        <v>1</v>
      </c>
      <c r="P32" s="73">
        <v>367</v>
      </c>
      <c r="Q32" s="76">
        <f t="shared" si="6"/>
        <v>3.2670299727520438</v>
      </c>
      <c r="S32" s="23">
        <f t="shared" si="7"/>
        <v>0.49000000000000005</v>
      </c>
      <c r="T32" s="23">
        <f t="shared" si="8"/>
        <v>0.23699999999999999</v>
      </c>
    </row>
    <row r="33" spans="1:22" ht="13.5" customHeight="1" x14ac:dyDescent="0.2">
      <c r="A33" s="8"/>
      <c r="B33" s="8"/>
      <c r="Q33" s="62"/>
      <c r="S33" s="17"/>
      <c r="T33" s="17"/>
    </row>
    <row r="34" spans="1:22" ht="48" x14ac:dyDescent="0.2">
      <c r="A34" s="18"/>
      <c r="B34" s="19"/>
      <c r="C34" s="111" t="s">
        <v>1</v>
      </c>
      <c r="D34" s="107"/>
      <c r="E34" s="111" t="s">
        <v>2</v>
      </c>
      <c r="F34" s="107"/>
      <c r="G34" s="111" t="s">
        <v>3</v>
      </c>
      <c r="H34" s="107"/>
      <c r="I34" s="106" t="s">
        <v>4</v>
      </c>
      <c r="J34" s="107"/>
      <c r="K34" s="106" t="s">
        <v>5</v>
      </c>
      <c r="L34" s="107"/>
      <c r="M34" s="106" t="s">
        <v>6</v>
      </c>
      <c r="N34" s="107"/>
      <c r="O34" s="106" t="s">
        <v>7</v>
      </c>
      <c r="P34" s="107"/>
      <c r="Q34" s="27" t="s">
        <v>8</v>
      </c>
      <c r="R34" s="21"/>
      <c r="S34" s="20" t="s">
        <v>9</v>
      </c>
      <c r="T34" s="20" t="s">
        <v>10</v>
      </c>
      <c r="U34" s="21"/>
      <c r="V34" s="21"/>
    </row>
    <row r="35" spans="1:22" ht="13.5" customHeight="1" x14ac:dyDescent="0.2">
      <c r="A35" s="5"/>
      <c r="B35" s="5" t="s">
        <v>45</v>
      </c>
      <c r="C35" s="38" t="s">
        <v>12</v>
      </c>
      <c r="D35" s="27" t="s">
        <v>13</v>
      </c>
      <c r="E35" s="38" t="s">
        <v>12</v>
      </c>
      <c r="F35" s="27" t="s">
        <v>13</v>
      </c>
      <c r="G35" s="38" t="s">
        <v>12</v>
      </c>
      <c r="H35" s="27" t="s">
        <v>13</v>
      </c>
      <c r="I35" s="27" t="s">
        <v>12</v>
      </c>
      <c r="J35" s="27" t="s">
        <v>13</v>
      </c>
      <c r="K35" s="27" t="s">
        <v>12</v>
      </c>
      <c r="L35" s="27" t="s">
        <v>13</v>
      </c>
      <c r="M35" s="27" t="s">
        <v>12</v>
      </c>
      <c r="N35" s="27" t="s">
        <v>13</v>
      </c>
      <c r="O35" s="27" t="s">
        <v>12</v>
      </c>
      <c r="P35" s="27" t="s">
        <v>13</v>
      </c>
      <c r="Q35" s="27" t="s">
        <v>14</v>
      </c>
      <c r="S35" s="17"/>
      <c r="T35" s="17"/>
    </row>
    <row r="36" spans="1:22" ht="15" customHeight="1" x14ac:dyDescent="0.2">
      <c r="A36" s="108" t="s">
        <v>46</v>
      </c>
      <c r="B36" s="22" t="s">
        <v>47</v>
      </c>
      <c r="C36" s="63">
        <v>0.20899999999999999</v>
      </c>
      <c r="D36" s="64">
        <v>77</v>
      </c>
      <c r="E36" s="63">
        <v>0.35599999999999998</v>
      </c>
      <c r="F36" s="64">
        <v>131</v>
      </c>
      <c r="G36" s="63">
        <v>0.17899999999999999</v>
      </c>
      <c r="H36" s="43">
        <v>66</v>
      </c>
      <c r="I36" s="42">
        <v>0.13300000000000001</v>
      </c>
      <c r="J36" s="43">
        <v>49</v>
      </c>
      <c r="K36" s="42">
        <v>0.12</v>
      </c>
      <c r="L36" s="43">
        <v>44</v>
      </c>
      <c r="M36" s="42">
        <v>3.0000000000000001E-3</v>
      </c>
      <c r="N36" s="43">
        <v>1</v>
      </c>
      <c r="O36" s="77">
        <v>1</v>
      </c>
      <c r="P36" s="43">
        <v>368</v>
      </c>
      <c r="Q36" s="44">
        <f t="shared" ref="Q36:Q41" si="9">((D36*5)+(F36*4)+(H36*3)+(J36*2)+L36)/(D36+F36+H36+J36+L36)</f>
        <v>3.4032697547683926</v>
      </c>
      <c r="S36" s="23">
        <f t="shared" ref="S36:S41" si="10">C36+E36</f>
        <v>0.56499999999999995</v>
      </c>
      <c r="T36" s="23">
        <f t="shared" ref="T36:T41" si="11">I36+K36</f>
        <v>0.253</v>
      </c>
    </row>
    <row r="37" spans="1:22" ht="15" customHeight="1" x14ac:dyDescent="0.2">
      <c r="A37" s="109"/>
      <c r="B37" s="24" t="s">
        <v>48</v>
      </c>
      <c r="C37" s="55">
        <v>0.22800000000000001</v>
      </c>
      <c r="D37" s="56">
        <v>84</v>
      </c>
      <c r="E37" s="55">
        <v>0.34799999999999998</v>
      </c>
      <c r="F37" s="56">
        <v>128</v>
      </c>
      <c r="G37" s="55">
        <v>0.13300000000000001</v>
      </c>
      <c r="H37" s="46">
        <v>49</v>
      </c>
      <c r="I37" s="45">
        <v>0.13900000000000001</v>
      </c>
      <c r="J37" s="47">
        <v>51</v>
      </c>
      <c r="K37" s="48">
        <v>0.14899999999999999</v>
      </c>
      <c r="L37" s="47">
        <v>55</v>
      </c>
      <c r="M37" s="48">
        <v>3.0000000000000001E-3</v>
      </c>
      <c r="N37" s="47">
        <v>1</v>
      </c>
      <c r="O37" s="70">
        <v>1</v>
      </c>
      <c r="P37" s="47">
        <v>368</v>
      </c>
      <c r="Q37" s="49">
        <f t="shared" si="9"/>
        <v>3.3678474114441417</v>
      </c>
      <c r="S37" s="23">
        <f t="shared" si="10"/>
        <v>0.57599999999999996</v>
      </c>
      <c r="T37" s="23">
        <f t="shared" si="11"/>
        <v>0.28800000000000003</v>
      </c>
    </row>
    <row r="38" spans="1:22" ht="15" customHeight="1" x14ac:dyDescent="0.2">
      <c r="A38" s="109"/>
      <c r="B38" s="25" t="s">
        <v>49</v>
      </c>
      <c r="C38" s="53">
        <v>0.27800000000000002</v>
      </c>
      <c r="D38" s="54">
        <v>102</v>
      </c>
      <c r="E38" s="53">
        <v>0.38400000000000001</v>
      </c>
      <c r="F38" s="54">
        <v>141</v>
      </c>
      <c r="G38" s="53">
        <v>0.112</v>
      </c>
      <c r="H38" s="51">
        <v>41</v>
      </c>
      <c r="I38" s="50">
        <v>0.114</v>
      </c>
      <c r="J38" s="51">
        <v>42</v>
      </c>
      <c r="K38" s="50">
        <v>0.10100000000000001</v>
      </c>
      <c r="L38" s="51">
        <v>37</v>
      </c>
      <c r="M38" s="50">
        <v>1.0999999999999999E-2</v>
      </c>
      <c r="N38" s="51">
        <v>4</v>
      </c>
      <c r="O38" s="78">
        <v>1</v>
      </c>
      <c r="P38" s="51">
        <v>367</v>
      </c>
      <c r="Q38" s="52">
        <f t="shared" si="9"/>
        <v>3.6308539944903582</v>
      </c>
      <c r="S38" s="23">
        <f t="shared" si="10"/>
        <v>0.66200000000000003</v>
      </c>
      <c r="T38" s="23">
        <f t="shared" si="11"/>
        <v>0.21500000000000002</v>
      </c>
    </row>
    <row r="39" spans="1:22" ht="15" customHeight="1" x14ac:dyDescent="0.2">
      <c r="A39" s="109"/>
      <c r="B39" s="24" t="s">
        <v>50</v>
      </c>
      <c r="C39" s="55">
        <v>0.26200000000000001</v>
      </c>
      <c r="D39" s="56">
        <v>96</v>
      </c>
      <c r="E39" s="55">
        <v>0.38800000000000001</v>
      </c>
      <c r="F39" s="56">
        <v>142</v>
      </c>
      <c r="G39" s="55">
        <v>0.16900000000000001</v>
      </c>
      <c r="H39" s="46">
        <v>62</v>
      </c>
      <c r="I39" s="45">
        <v>8.5000000000000006E-2</v>
      </c>
      <c r="J39" s="47">
        <v>31</v>
      </c>
      <c r="K39" s="48">
        <v>7.9000000000000001E-2</v>
      </c>
      <c r="L39" s="47">
        <v>29</v>
      </c>
      <c r="M39" s="48">
        <v>1.6E-2</v>
      </c>
      <c r="N39" s="47">
        <v>6</v>
      </c>
      <c r="O39" s="70">
        <v>1</v>
      </c>
      <c r="P39" s="47">
        <v>366</v>
      </c>
      <c r="Q39" s="49">
        <f t="shared" si="9"/>
        <v>3.6805555555555554</v>
      </c>
      <c r="S39" s="23">
        <f t="shared" si="10"/>
        <v>0.65</v>
      </c>
      <c r="T39" s="23">
        <f t="shared" si="11"/>
        <v>0.16400000000000001</v>
      </c>
    </row>
    <row r="40" spans="1:22" ht="15" customHeight="1" x14ac:dyDescent="0.2">
      <c r="A40" s="109"/>
      <c r="B40" s="25" t="s">
        <v>51</v>
      </c>
      <c r="C40" s="53">
        <v>0.22</v>
      </c>
      <c r="D40" s="54">
        <v>81</v>
      </c>
      <c r="E40" s="53">
        <v>0.27200000000000002</v>
      </c>
      <c r="F40" s="54">
        <v>100</v>
      </c>
      <c r="G40" s="53">
        <v>0.19600000000000001</v>
      </c>
      <c r="H40" s="51">
        <v>72</v>
      </c>
      <c r="I40" s="50">
        <v>0.16300000000000001</v>
      </c>
      <c r="J40" s="51">
        <v>60</v>
      </c>
      <c r="K40" s="50">
        <v>0.109</v>
      </c>
      <c r="L40" s="51">
        <v>40</v>
      </c>
      <c r="M40" s="50">
        <v>4.1000000000000002E-2</v>
      </c>
      <c r="N40" s="51">
        <v>15</v>
      </c>
      <c r="O40" s="78">
        <v>1</v>
      </c>
      <c r="P40" s="51">
        <v>368</v>
      </c>
      <c r="Q40" s="52">
        <f t="shared" si="9"/>
        <v>3.3456090651558075</v>
      </c>
      <c r="S40" s="23">
        <f t="shared" si="10"/>
        <v>0.49199999999999999</v>
      </c>
      <c r="T40" s="23">
        <f t="shared" si="11"/>
        <v>0.27200000000000002</v>
      </c>
    </row>
    <row r="41" spans="1:22" ht="15" customHeight="1" x14ac:dyDescent="0.2">
      <c r="A41" s="110"/>
      <c r="B41" s="28" t="s">
        <v>52</v>
      </c>
      <c r="C41" s="79">
        <v>0.36499999999999999</v>
      </c>
      <c r="D41" s="80">
        <v>134</v>
      </c>
      <c r="E41" s="79">
        <v>0.308</v>
      </c>
      <c r="F41" s="80">
        <v>113</v>
      </c>
      <c r="G41" s="79">
        <v>0.15</v>
      </c>
      <c r="H41" s="72">
        <v>55</v>
      </c>
      <c r="I41" s="71">
        <v>0.09</v>
      </c>
      <c r="J41" s="73">
        <v>33</v>
      </c>
      <c r="K41" s="74">
        <v>8.2000000000000003E-2</v>
      </c>
      <c r="L41" s="73">
        <v>30</v>
      </c>
      <c r="M41" s="74">
        <v>5.0000000000000001E-3</v>
      </c>
      <c r="N41" s="73">
        <v>2</v>
      </c>
      <c r="O41" s="75">
        <v>1</v>
      </c>
      <c r="P41" s="73">
        <v>367</v>
      </c>
      <c r="Q41" s="76">
        <f t="shared" si="9"/>
        <v>3.7890410958904108</v>
      </c>
      <c r="S41" s="23">
        <f t="shared" si="10"/>
        <v>0.67300000000000004</v>
      </c>
      <c r="T41" s="23">
        <f t="shared" si="11"/>
        <v>0.17199999999999999</v>
      </c>
    </row>
    <row r="42" spans="1:22" ht="13.5" customHeight="1" x14ac:dyDescent="0.2">
      <c r="A42" s="8"/>
      <c r="B42" s="14"/>
      <c r="C42" s="100"/>
      <c r="D42" s="100"/>
      <c r="E42" s="100"/>
      <c r="F42" s="100"/>
      <c r="G42" s="100"/>
      <c r="Q42" s="62"/>
      <c r="S42" s="29"/>
      <c r="T42" s="29"/>
    </row>
    <row r="43" spans="1:22" ht="48" x14ac:dyDescent="0.2">
      <c r="A43" s="18"/>
      <c r="B43" s="19"/>
      <c r="C43" s="111" t="s">
        <v>1</v>
      </c>
      <c r="D43" s="107"/>
      <c r="E43" s="111" t="s">
        <v>2</v>
      </c>
      <c r="F43" s="107"/>
      <c r="G43" s="111" t="s">
        <v>3</v>
      </c>
      <c r="H43" s="107"/>
      <c r="I43" s="106" t="s">
        <v>4</v>
      </c>
      <c r="J43" s="107"/>
      <c r="K43" s="106" t="s">
        <v>5</v>
      </c>
      <c r="L43" s="107"/>
      <c r="M43" s="106" t="s">
        <v>6</v>
      </c>
      <c r="N43" s="107"/>
      <c r="O43" s="106" t="s">
        <v>7</v>
      </c>
      <c r="P43" s="107"/>
      <c r="Q43" s="27" t="s">
        <v>8</v>
      </c>
      <c r="R43" s="21"/>
      <c r="S43" s="20" t="s">
        <v>9</v>
      </c>
      <c r="T43" s="20" t="s">
        <v>10</v>
      </c>
      <c r="U43" s="21"/>
      <c r="V43" s="21"/>
    </row>
    <row r="44" spans="1:22" ht="13.5" customHeight="1" x14ac:dyDescent="0.2">
      <c r="A44" s="5"/>
      <c r="B44" s="5" t="s">
        <v>53</v>
      </c>
      <c r="C44" s="38" t="s">
        <v>12</v>
      </c>
      <c r="D44" s="27" t="s">
        <v>13</v>
      </c>
      <c r="E44" s="38" t="s">
        <v>12</v>
      </c>
      <c r="F44" s="27" t="s">
        <v>13</v>
      </c>
      <c r="G44" s="38" t="s">
        <v>12</v>
      </c>
      <c r="H44" s="27" t="s">
        <v>13</v>
      </c>
      <c r="I44" s="27" t="s">
        <v>12</v>
      </c>
      <c r="J44" s="27" t="s">
        <v>13</v>
      </c>
      <c r="K44" s="27" t="s">
        <v>12</v>
      </c>
      <c r="L44" s="27" t="s">
        <v>13</v>
      </c>
      <c r="M44" s="27" t="s">
        <v>12</v>
      </c>
      <c r="N44" s="27" t="s">
        <v>13</v>
      </c>
      <c r="O44" s="27" t="s">
        <v>12</v>
      </c>
      <c r="P44" s="27" t="s">
        <v>13</v>
      </c>
      <c r="Q44" s="27" t="s">
        <v>14</v>
      </c>
      <c r="S44" s="29"/>
      <c r="T44" s="29"/>
    </row>
    <row r="45" spans="1:22" ht="15" customHeight="1" x14ac:dyDescent="0.2">
      <c r="A45" s="108" t="s">
        <v>54</v>
      </c>
      <c r="B45" s="22" t="s">
        <v>55</v>
      </c>
      <c r="C45" s="63">
        <v>7.0999999999999994E-2</v>
      </c>
      <c r="D45" s="64">
        <v>26</v>
      </c>
      <c r="E45" s="63">
        <v>0.34200000000000003</v>
      </c>
      <c r="F45" s="64">
        <v>125</v>
      </c>
      <c r="G45" s="63">
        <v>0.184</v>
      </c>
      <c r="H45" s="43">
        <v>67</v>
      </c>
      <c r="I45" s="42">
        <v>0.252</v>
      </c>
      <c r="J45" s="43">
        <v>92</v>
      </c>
      <c r="K45" s="42">
        <v>0.14499999999999999</v>
      </c>
      <c r="L45" s="43">
        <v>53</v>
      </c>
      <c r="M45" s="42">
        <v>5.0000000000000001E-3</v>
      </c>
      <c r="N45" s="43">
        <v>2</v>
      </c>
      <c r="O45" s="77">
        <v>1</v>
      </c>
      <c r="P45" s="43">
        <v>365</v>
      </c>
      <c r="Q45" s="44">
        <f t="shared" ref="Q45:Q54" si="12">((D45*5)+(F45*4)+(H45*3)+(J45*2)+L45)/(D45+F45+H45+J45+L45)</f>
        <v>2.9421487603305785</v>
      </c>
      <c r="S45" s="23">
        <f t="shared" ref="S45:S54" si="13">C45+E45</f>
        <v>0.41300000000000003</v>
      </c>
      <c r="T45" s="23">
        <f t="shared" ref="T45:T54" si="14">I45+K45</f>
        <v>0.39700000000000002</v>
      </c>
    </row>
    <row r="46" spans="1:22" ht="15" customHeight="1" x14ac:dyDescent="0.2">
      <c r="A46" s="109"/>
      <c r="B46" s="24" t="s">
        <v>56</v>
      </c>
      <c r="C46" s="55">
        <v>0.06</v>
      </c>
      <c r="D46" s="56">
        <v>22</v>
      </c>
      <c r="E46" s="55">
        <v>0.219</v>
      </c>
      <c r="F46" s="56">
        <v>80</v>
      </c>
      <c r="G46" s="55">
        <v>0.156</v>
      </c>
      <c r="H46" s="46">
        <v>57</v>
      </c>
      <c r="I46" s="45">
        <v>0.26800000000000002</v>
      </c>
      <c r="J46" s="47">
        <v>98</v>
      </c>
      <c r="K46" s="48">
        <v>0.28399999999999997</v>
      </c>
      <c r="L46" s="47">
        <v>104</v>
      </c>
      <c r="M46" s="48">
        <v>1.4E-2</v>
      </c>
      <c r="N46" s="47">
        <v>5</v>
      </c>
      <c r="O46" s="70">
        <v>1</v>
      </c>
      <c r="P46" s="47">
        <v>366</v>
      </c>
      <c r="Q46" s="49">
        <f t="shared" si="12"/>
        <v>2.4958448753462603</v>
      </c>
      <c r="S46" s="23">
        <f t="shared" si="13"/>
        <v>0.27900000000000003</v>
      </c>
      <c r="T46" s="23">
        <f t="shared" si="14"/>
        <v>0.55200000000000005</v>
      </c>
    </row>
    <row r="47" spans="1:22" ht="15" customHeight="1" x14ac:dyDescent="0.2">
      <c r="A47" s="109"/>
      <c r="B47" s="25" t="s">
        <v>57</v>
      </c>
      <c r="C47" s="53">
        <v>0.06</v>
      </c>
      <c r="D47" s="54">
        <v>22</v>
      </c>
      <c r="E47" s="53">
        <v>0.27300000000000002</v>
      </c>
      <c r="F47" s="54">
        <v>100</v>
      </c>
      <c r="G47" s="53">
        <v>0.26500000000000001</v>
      </c>
      <c r="H47" s="51">
        <v>97</v>
      </c>
      <c r="I47" s="50">
        <v>0.216</v>
      </c>
      <c r="J47" s="51">
        <v>79</v>
      </c>
      <c r="K47" s="50">
        <v>0.153</v>
      </c>
      <c r="L47" s="51">
        <v>56</v>
      </c>
      <c r="M47" s="50">
        <v>3.3000000000000002E-2</v>
      </c>
      <c r="N47" s="51">
        <v>12</v>
      </c>
      <c r="O47" s="78">
        <v>1</v>
      </c>
      <c r="P47" s="51">
        <v>366</v>
      </c>
      <c r="Q47" s="52">
        <f t="shared" si="12"/>
        <v>2.8672316384180792</v>
      </c>
      <c r="S47" s="23">
        <f t="shared" si="13"/>
        <v>0.33300000000000002</v>
      </c>
      <c r="T47" s="23">
        <f t="shared" si="14"/>
        <v>0.36899999999999999</v>
      </c>
    </row>
    <row r="48" spans="1:22" ht="15" customHeight="1" x14ac:dyDescent="0.2">
      <c r="A48" s="109"/>
      <c r="B48" s="24" t="s">
        <v>58</v>
      </c>
      <c r="C48" s="55">
        <v>6.3E-2</v>
      </c>
      <c r="D48" s="56">
        <v>23</v>
      </c>
      <c r="E48" s="55">
        <v>0.215</v>
      </c>
      <c r="F48" s="56">
        <v>79</v>
      </c>
      <c r="G48" s="55">
        <v>0.21</v>
      </c>
      <c r="H48" s="46">
        <v>77</v>
      </c>
      <c r="I48" s="45">
        <v>0.22900000000000001</v>
      </c>
      <c r="J48" s="47">
        <v>84</v>
      </c>
      <c r="K48" s="48">
        <v>0.26200000000000001</v>
      </c>
      <c r="L48" s="47">
        <v>96</v>
      </c>
      <c r="M48" s="48">
        <v>2.1999999999999999E-2</v>
      </c>
      <c r="N48" s="47">
        <v>8</v>
      </c>
      <c r="O48" s="70">
        <v>1</v>
      </c>
      <c r="P48" s="47">
        <v>367</v>
      </c>
      <c r="Q48" s="49">
        <f t="shared" si="12"/>
        <v>2.5793871866295266</v>
      </c>
      <c r="S48" s="23">
        <f t="shared" si="13"/>
        <v>0.27800000000000002</v>
      </c>
      <c r="T48" s="23">
        <f t="shared" si="14"/>
        <v>0.49099999999999999</v>
      </c>
    </row>
    <row r="49" spans="1:22" ht="15" customHeight="1" x14ac:dyDescent="0.2">
      <c r="A49" s="109"/>
      <c r="B49" s="25" t="s">
        <v>59</v>
      </c>
      <c r="C49" s="53">
        <v>4.9000000000000002E-2</v>
      </c>
      <c r="D49" s="54">
        <v>18</v>
      </c>
      <c r="E49" s="53">
        <v>0.17199999999999999</v>
      </c>
      <c r="F49" s="54">
        <v>63</v>
      </c>
      <c r="G49" s="53">
        <v>0.248</v>
      </c>
      <c r="H49" s="51">
        <v>91</v>
      </c>
      <c r="I49" s="50">
        <v>0.26700000000000002</v>
      </c>
      <c r="J49" s="51">
        <v>98</v>
      </c>
      <c r="K49" s="50">
        <v>0.221</v>
      </c>
      <c r="L49" s="51">
        <v>81</v>
      </c>
      <c r="M49" s="50">
        <v>4.3999999999999997E-2</v>
      </c>
      <c r="N49" s="51">
        <v>16</v>
      </c>
      <c r="O49" s="78">
        <v>1</v>
      </c>
      <c r="P49" s="51">
        <v>367</v>
      </c>
      <c r="Q49" s="52">
        <f t="shared" si="12"/>
        <v>2.5413105413105415</v>
      </c>
      <c r="S49" s="23">
        <f t="shared" si="13"/>
        <v>0.22099999999999997</v>
      </c>
      <c r="T49" s="23">
        <f t="shared" si="14"/>
        <v>0.48799999999999999</v>
      </c>
    </row>
    <row r="50" spans="1:22" ht="15" customHeight="1" x14ac:dyDescent="0.2">
      <c r="A50" s="109"/>
      <c r="B50" s="24" t="s">
        <v>60</v>
      </c>
      <c r="C50" s="45">
        <v>6.3E-2</v>
      </c>
      <c r="D50" s="46">
        <v>23</v>
      </c>
      <c r="E50" s="45">
        <v>0.20200000000000001</v>
      </c>
      <c r="F50" s="46">
        <v>74</v>
      </c>
      <c r="G50" s="45">
        <v>0.248</v>
      </c>
      <c r="H50" s="46">
        <v>91</v>
      </c>
      <c r="I50" s="45">
        <v>0.23699999999999999</v>
      </c>
      <c r="J50" s="47">
        <v>87</v>
      </c>
      <c r="K50" s="48">
        <v>0.21299999999999999</v>
      </c>
      <c r="L50" s="47">
        <v>78</v>
      </c>
      <c r="M50" s="48">
        <v>3.7999999999999999E-2</v>
      </c>
      <c r="N50" s="47">
        <v>14</v>
      </c>
      <c r="O50" s="70">
        <v>1</v>
      </c>
      <c r="P50" s="47">
        <v>367</v>
      </c>
      <c r="Q50" s="49">
        <f t="shared" si="12"/>
        <v>2.6515580736543911</v>
      </c>
      <c r="S50" s="23">
        <f t="shared" si="13"/>
        <v>0.26500000000000001</v>
      </c>
      <c r="T50" s="23">
        <f t="shared" si="14"/>
        <v>0.44999999999999996</v>
      </c>
    </row>
    <row r="51" spans="1:22" ht="15" customHeight="1" x14ac:dyDescent="0.2">
      <c r="A51" s="109"/>
      <c r="B51" s="25" t="s">
        <v>61</v>
      </c>
      <c r="C51" s="50">
        <v>0.06</v>
      </c>
      <c r="D51" s="51">
        <v>22</v>
      </c>
      <c r="E51" s="50">
        <v>0.158</v>
      </c>
      <c r="F51" s="51">
        <v>58</v>
      </c>
      <c r="G51" s="50">
        <v>0.189</v>
      </c>
      <c r="H51" s="51">
        <v>69</v>
      </c>
      <c r="I51" s="50">
        <v>0.23799999999999999</v>
      </c>
      <c r="J51" s="51">
        <v>87</v>
      </c>
      <c r="K51" s="50">
        <v>0.314</v>
      </c>
      <c r="L51" s="51">
        <v>115</v>
      </c>
      <c r="M51" s="50">
        <v>4.1000000000000002E-2</v>
      </c>
      <c r="N51" s="51">
        <v>15</v>
      </c>
      <c r="O51" s="78">
        <v>1</v>
      </c>
      <c r="P51" s="51">
        <v>366</v>
      </c>
      <c r="Q51" s="52">
        <f t="shared" si="12"/>
        <v>2.3874643874643873</v>
      </c>
      <c r="S51" s="23">
        <f t="shared" si="13"/>
        <v>0.218</v>
      </c>
      <c r="T51" s="23">
        <f t="shared" si="14"/>
        <v>0.55200000000000005</v>
      </c>
    </row>
    <row r="52" spans="1:22" ht="15" customHeight="1" x14ac:dyDescent="0.2">
      <c r="A52" s="109"/>
      <c r="B52" s="24" t="s">
        <v>62</v>
      </c>
      <c r="C52" s="45">
        <v>4.5999999999999999E-2</v>
      </c>
      <c r="D52" s="46">
        <v>17</v>
      </c>
      <c r="E52" s="45">
        <v>0.13100000000000001</v>
      </c>
      <c r="F52" s="46">
        <v>48</v>
      </c>
      <c r="G52" s="45">
        <v>0.153</v>
      </c>
      <c r="H52" s="46">
        <v>56</v>
      </c>
      <c r="I52" s="45">
        <v>0.249</v>
      </c>
      <c r="J52" s="47">
        <v>91</v>
      </c>
      <c r="K52" s="48">
        <v>0.39300000000000002</v>
      </c>
      <c r="L52" s="47">
        <v>144</v>
      </c>
      <c r="M52" s="48">
        <v>2.7E-2</v>
      </c>
      <c r="N52" s="47">
        <v>10</v>
      </c>
      <c r="O52" s="70">
        <v>1</v>
      </c>
      <c r="P52" s="47">
        <v>366</v>
      </c>
      <c r="Q52" s="49">
        <f t="shared" si="12"/>
        <v>2.1657303370786516</v>
      </c>
      <c r="S52" s="23">
        <f t="shared" si="13"/>
        <v>0.17699999999999999</v>
      </c>
      <c r="T52" s="23">
        <f t="shared" si="14"/>
        <v>0.64200000000000002</v>
      </c>
    </row>
    <row r="53" spans="1:22" ht="15" customHeight="1" x14ac:dyDescent="0.2">
      <c r="A53" s="109"/>
      <c r="B53" s="25" t="s">
        <v>63</v>
      </c>
      <c r="C53" s="50">
        <v>5.7000000000000002E-2</v>
      </c>
      <c r="D53" s="51">
        <v>21</v>
      </c>
      <c r="E53" s="50">
        <v>0.183</v>
      </c>
      <c r="F53" s="51">
        <v>67</v>
      </c>
      <c r="G53" s="50">
        <v>0.254</v>
      </c>
      <c r="H53" s="51">
        <v>93</v>
      </c>
      <c r="I53" s="50">
        <v>0.22700000000000001</v>
      </c>
      <c r="J53" s="51">
        <v>83</v>
      </c>
      <c r="K53" s="50">
        <v>0.251</v>
      </c>
      <c r="L53" s="51">
        <v>92</v>
      </c>
      <c r="M53" s="50">
        <v>2.7E-2</v>
      </c>
      <c r="N53" s="51">
        <v>10</v>
      </c>
      <c r="O53" s="78">
        <v>1</v>
      </c>
      <c r="P53" s="51">
        <v>366</v>
      </c>
      <c r="Q53" s="52">
        <f t="shared" si="12"/>
        <v>2.5561797752808988</v>
      </c>
      <c r="S53" s="23">
        <f t="shared" si="13"/>
        <v>0.24</v>
      </c>
      <c r="T53" s="23">
        <f t="shared" si="14"/>
        <v>0.47799999999999998</v>
      </c>
    </row>
    <row r="54" spans="1:22" ht="15" customHeight="1" x14ac:dyDescent="0.2">
      <c r="A54" s="110"/>
      <c r="B54" s="28" t="s">
        <v>64</v>
      </c>
      <c r="C54" s="71">
        <v>6.6000000000000003E-2</v>
      </c>
      <c r="D54" s="72">
        <v>24</v>
      </c>
      <c r="E54" s="71">
        <v>0.161</v>
      </c>
      <c r="F54" s="72">
        <v>59</v>
      </c>
      <c r="G54" s="71">
        <v>0.216</v>
      </c>
      <c r="H54" s="72">
        <v>79</v>
      </c>
      <c r="I54" s="71">
        <v>0.20799999999999999</v>
      </c>
      <c r="J54" s="73">
        <v>76</v>
      </c>
      <c r="K54" s="74">
        <v>0.32</v>
      </c>
      <c r="L54" s="73">
        <v>117</v>
      </c>
      <c r="M54" s="74">
        <v>0.03</v>
      </c>
      <c r="N54" s="73">
        <v>11</v>
      </c>
      <c r="O54" s="75">
        <v>1</v>
      </c>
      <c r="P54" s="73">
        <v>366</v>
      </c>
      <c r="Q54" s="76">
        <f t="shared" si="12"/>
        <v>2.4281690140845069</v>
      </c>
      <c r="S54" s="23">
        <f t="shared" si="13"/>
        <v>0.22700000000000001</v>
      </c>
      <c r="T54" s="23">
        <f t="shared" si="14"/>
        <v>0.52800000000000002</v>
      </c>
    </row>
    <row r="55" spans="1:22" ht="13.5" customHeight="1" x14ac:dyDescent="0.2">
      <c r="A55" s="15"/>
      <c r="B55" s="16"/>
      <c r="Q55" s="62"/>
      <c r="S55" s="29"/>
      <c r="T55" s="29"/>
    </row>
    <row r="56" spans="1:22" ht="48" x14ac:dyDescent="0.2">
      <c r="A56" s="18"/>
      <c r="B56" s="19"/>
      <c r="C56" s="111" t="s">
        <v>1</v>
      </c>
      <c r="D56" s="107"/>
      <c r="E56" s="111" t="s">
        <v>2</v>
      </c>
      <c r="F56" s="107"/>
      <c r="G56" s="111" t="s">
        <v>3</v>
      </c>
      <c r="H56" s="107"/>
      <c r="I56" s="106" t="s">
        <v>4</v>
      </c>
      <c r="J56" s="107"/>
      <c r="K56" s="106" t="s">
        <v>5</v>
      </c>
      <c r="L56" s="107"/>
      <c r="M56" s="106" t="s">
        <v>6</v>
      </c>
      <c r="N56" s="107"/>
      <c r="O56" s="106" t="s">
        <v>7</v>
      </c>
      <c r="P56" s="107"/>
      <c r="Q56" s="27" t="s">
        <v>8</v>
      </c>
      <c r="R56" s="21"/>
      <c r="S56" s="20" t="s">
        <v>9</v>
      </c>
      <c r="T56" s="20" t="s">
        <v>10</v>
      </c>
      <c r="U56" s="21"/>
      <c r="V56" s="21"/>
    </row>
    <row r="57" spans="1:22" ht="13.5" customHeight="1" x14ac:dyDescent="0.2">
      <c r="A57" s="5"/>
      <c r="B57" s="5" t="s">
        <v>65</v>
      </c>
      <c r="C57" s="38" t="s">
        <v>12</v>
      </c>
      <c r="D57" s="27" t="s">
        <v>13</v>
      </c>
      <c r="E57" s="38" t="s">
        <v>12</v>
      </c>
      <c r="F57" s="27" t="s">
        <v>13</v>
      </c>
      <c r="G57" s="38" t="s">
        <v>12</v>
      </c>
      <c r="H57" s="27" t="s">
        <v>13</v>
      </c>
      <c r="I57" s="27" t="s">
        <v>12</v>
      </c>
      <c r="J57" s="38" t="s">
        <v>13</v>
      </c>
      <c r="K57" s="27" t="s">
        <v>12</v>
      </c>
      <c r="L57" s="38" t="s">
        <v>13</v>
      </c>
      <c r="M57" s="27" t="s">
        <v>12</v>
      </c>
      <c r="N57" s="38" t="s">
        <v>13</v>
      </c>
      <c r="O57" s="27" t="s">
        <v>12</v>
      </c>
      <c r="P57" s="38" t="s">
        <v>13</v>
      </c>
      <c r="Q57" s="27" t="s">
        <v>14</v>
      </c>
      <c r="S57" s="17"/>
      <c r="T57" s="17"/>
    </row>
    <row r="58" spans="1:22" ht="15" customHeight="1" x14ac:dyDescent="0.2">
      <c r="A58" s="108" t="s">
        <v>66</v>
      </c>
      <c r="B58" s="22" t="s">
        <v>67</v>
      </c>
      <c r="C58" s="81">
        <v>0.34499999999999997</v>
      </c>
      <c r="D58" s="82">
        <v>126</v>
      </c>
      <c r="E58" s="81">
        <v>0.47699999999999998</v>
      </c>
      <c r="F58" s="82">
        <v>174</v>
      </c>
      <c r="G58" s="81">
        <v>0.121</v>
      </c>
      <c r="H58" s="43">
        <v>44</v>
      </c>
      <c r="I58" s="42">
        <v>1.6E-2</v>
      </c>
      <c r="J58" s="43">
        <v>6</v>
      </c>
      <c r="K58" s="42">
        <v>1.0999999999999999E-2</v>
      </c>
      <c r="L58" s="43">
        <v>4</v>
      </c>
      <c r="M58" s="42">
        <v>0.03</v>
      </c>
      <c r="N58" s="43">
        <v>11</v>
      </c>
      <c r="O58" s="77">
        <v>1</v>
      </c>
      <c r="P58" s="43">
        <v>365</v>
      </c>
      <c r="Q58" s="44">
        <f t="shared" ref="Q58:Q63" si="15">((D58*5)+(F58*4)+(H58*3)+(J58*2)+L58)/(D58+F58+H58+J58+L58)</f>
        <v>4.1638418079096047</v>
      </c>
      <c r="S58" s="23">
        <f t="shared" ref="S58:S63" si="16">C58+E58</f>
        <v>0.82199999999999995</v>
      </c>
      <c r="T58" s="23">
        <f t="shared" ref="T58:T63" si="17">I58+K58</f>
        <v>2.7E-2</v>
      </c>
    </row>
    <row r="59" spans="1:22" ht="15" customHeight="1" x14ac:dyDescent="0.2">
      <c r="A59" s="109"/>
      <c r="B59" s="24" t="s">
        <v>68</v>
      </c>
      <c r="C59" s="83">
        <v>0.33400000000000002</v>
      </c>
      <c r="D59" s="84">
        <v>122</v>
      </c>
      <c r="E59" s="83">
        <v>0.46</v>
      </c>
      <c r="F59" s="84">
        <v>168</v>
      </c>
      <c r="G59" s="83">
        <v>0.11799999999999999</v>
      </c>
      <c r="H59" s="46">
        <v>43</v>
      </c>
      <c r="I59" s="45">
        <v>0.03</v>
      </c>
      <c r="J59" s="47">
        <v>11</v>
      </c>
      <c r="K59" s="48">
        <v>1.6E-2</v>
      </c>
      <c r="L59" s="47">
        <v>6</v>
      </c>
      <c r="M59" s="48">
        <v>4.1000000000000002E-2</v>
      </c>
      <c r="N59" s="47">
        <v>15</v>
      </c>
      <c r="O59" s="70">
        <v>1</v>
      </c>
      <c r="P59" s="47">
        <v>365</v>
      </c>
      <c r="Q59" s="49">
        <f t="shared" si="15"/>
        <v>4.1114285714285712</v>
      </c>
      <c r="S59" s="23">
        <f t="shared" si="16"/>
        <v>0.79400000000000004</v>
      </c>
      <c r="T59" s="23">
        <f t="shared" si="17"/>
        <v>4.5999999999999999E-2</v>
      </c>
    </row>
    <row r="60" spans="1:22" ht="15" customHeight="1" x14ac:dyDescent="0.2">
      <c r="A60" s="109"/>
      <c r="B60" s="25" t="s">
        <v>69</v>
      </c>
      <c r="C60" s="85">
        <v>0.29699999999999999</v>
      </c>
      <c r="D60" s="86">
        <v>108</v>
      </c>
      <c r="E60" s="85">
        <v>0.44</v>
      </c>
      <c r="F60" s="86">
        <v>160</v>
      </c>
      <c r="G60" s="85">
        <v>0.124</v>
      </c>
      <c r="H60" s="51">
        <v>45</v>
      </c>
      <c r="I60" s="50">
        <v>0.06</v>
      </c>
      <c r="J60" s="51">
        <v>22</v>
      </c>
      <c r="K60" s="50">
        <v>4.1000000000000002E-2</v>
      </c>
      <c r="L60" s="51">
        <v>15</v>
      </c>
      <c r="M60" s="50">
        <v>3.7999999999999999E-2</v>
      </c>
      <c r="N60" s="51">
        <v>14</v>
      </c>
      <c r="O60" s="78">
        <v>1</v>
      </c>
      <c r="P60" s="51">
        <v>364</v>
      </c>
      <c r="Q60" s="52">
        <f t="shared" si="15"/>
        <v>3.9257142857142857</v>
      </c>
      <c r="S60" s="23">
        <f t="shared" si="16"/>
        <v>0.73699999999999999</v>
      </c>
      <c r="T60" s="23">
        <f t="shared" si="17"/>
        <v>0.10100000000000001</v>
      </c>
    </row>
    <row r="61" spans="1:22" ht="15" customHeight="1" x14ac:dyDescent="0.2">
      <c r="A61" s="109"/>
      <c r="B61" s="24" t="s">
        <v>70</v>
      </c>
      <c r="C61" s="83">
        <v>0.25700000000000001</v>
      </c>
      <c r="D61" s="84">
        <v>93</v>
      </c>
      <c r="E61" s="83">
        <v>0.38700000000000001</v>
      </c>
      <c r="F61" s="84">
        <v>140</v>
      </c>
      <c r="G61" s="83">
        <v>0.22900000000000001</v>
      </c>
      <c r="H61" s="46">
        <v>83</v>
      </c>
      <c r="I61" s="45">
        <v>3.9E-2</v>
      </c>
      <c r="J61" s="47">
        <v>14</v>
      </c>
      <c r="K61" s="48">
        <v>1.9E-2</v>
      </c>
      <c r="L61" s="47">
        <v>7</v>
      </c>
      <c r="M61" s="48">
        <v>6.9000000000000006E-2</v>
      </c>
      <c r="N61" s="47">
        <v>25</v>
      </c>
      <c r="O61" s="70">
        <v>1</v>
      </c>
      <c r="P61" s="47">
        <v>362</v>
      </c>
      <c r="Q61" s="49">
        <f t="shared" si="15"/>
        <v>3.8842729970326411</v>
      </c>
      <c r="S61" s="23">
        <f t="shared" si="16"/>
        <v>0.64400000000000002</v>
      </c>
      <c r="T61" s="23">
        <f t="shared" si="17"/>
        <v>5.7999999999999996E-2</v>
      </c>
    </row>
    <row r="62" spans="1:22" ht="15" customHeight="1" x14ac:dyDescent="0.2">
      <c r="A62" s="109"/>
      <c r="B62" s="25" t="s">
        <v>71</v>
      </c>
      <c r="C62" s="85">
        <v>0.255</v>
      </c>
      <c r="D62" s="86">
        <v>93</v>
      </c>
      <c r="E62" s="85">
        <v>0.45600000000000002</v>
      </c>
      <c r="F62" s="86">
        <v>166</v>
      </c>
      <c r="G62" s="85">
        <v>0.187</v>
      </c>
      <c r="H62" s="51">
        <v>68</v>
      </c>
      <c r="I62" s="50">
        <v>4.1000000000000002E-2</v>
      </c>
      <c r="J62" s="51">
        <v>15</v>
      </c>
      <c r="K62" s="50">
        <v>1.6E-2</v>
      </c>
      <c r="L62" s="51">
        <v>6</v>
      </c>
      <c r="M62" s="50">
        <v>4.3999999999999997E-2</v>
      </c>
      <c r="N62" s="51">
        <v>16</v>
      </c>
      <c r="O62" s="78">
        <v>1</v>
      </c>
      <c r="P62" s="51">
        <v>364</v>
      </c>
      <c r="Q62" s="52">
        <f t="shared" si="15"/>
        <v>3.9339080459770117</v>
      </c>
      <c r="S62" s="23">
        <f t="shared" si="16"/>
        <v>0.71100000000000008</v>
      </c>
      <c r="T62" s="23">
        <f t="shared" si="17"/>
        <v>5.7000000000000002E-2</v>
      </c>
    </row>
    <row r="63" spans="1:22" ht="15" customHeight="1" x14ac:dyDescent="0.2">
      <c r="A63" s="110"/>
      <c r="B63" s="28" t="s">
        <v>72</v>
      </c>
      <c r="C63" s="87">
        <v>0.32400000000000001</v>
      </c>
      <c r="D63" s="88">
        <v>118</v>
      </c>
      <c r="E63" s="87">
        <v>0.42599999999999999</v>
      </c>
      <c r="F63" s="88">
        <v>155</v>
      </c>
      <c r="G63" s="87">
        <v>0.16500000000000001</v>
      </c>
      <c r="H63" s="72">
        <v>60</v>
      </c>
      <c r="I63" s="71">
        <v>2.5000000000000001E-2</v>
      </c>
      <c r="J63" s="73">
        <v>9</v>
      </c>
      <c r="K63" s="74">
        <v>1.4E-2</v>
      </c>
      <c r="L63" s="73">
        <v>5</v>
      </c>
      <c r="M63" s="74">
        <v>4.7E-2</v>
      </c>
      <c r="N63" s="73">
        <v>17</v>
      </c>
      <c r="O63" s="75">
        <v>1</v>
      </c>
      <c r="P63" s="73">
        <v>364</v>
      </c>
      <c r="Q63" s="76">
        <f t="shared" si="15"/>
        <v>4.0720461095100866</v>
      </c>
      <c r="S63" s="23">
        <f t="shared" si="16"/>
        <v>0.75</v>
      </c>
      <c r="T63" s="23">
        <f t="shared" si="17"/>
        <v>3.9E-2</v>
      </c>
    </row>
    <row r="64" spans="1:22" ht="12.75" customHeight="1" x14ac:dyDescent="0.2">
      <c r="A64" s="1"/>
      <c r="B64" s="4"/>
      <c r="C64" s="102"/>
      <c r="D64" s="102"/>
      <c r="E64" s="102"/>
      <c r="F64" s="102"/>
      <c r="G64" s="103"/>
      <c r="H64" s="101"/>
      <c r="Q64" s="62"/>
      <c r="S64" s="17"/>
      <c r="T64" s="17"/>
    </row>
    <row r="65" spans="1:22" ht="12.75" customHeight="1" x14ac:dyDescent="0.2">
      <c r="A65" s="1"/>
      <c r="B65" s="4"/>
      <c r="S65" s="17"/>
      <c r="T65" s="17"/>
    </row>
    <row r="66" spans="1:22" ht="13.5" customHeight="1" x14ac:dyDescent="0.2">
      <c r="A66" s="1"/>
      <c r="B66" s="4"/>
      <c r="C66" s="112" t="s">
        <v>7</v>
      </c>
      <c r="D66" s="113"/>
      <c r="S66" s="17"/>
      <c r="T66" s="17"/>
    </row>
    <row r="67" spans="1:22" ht="13.5" customHeight="1" x14ac:dyDescent="0.2">
      <c r="B67" s="5" t="s">
        <v>73</v>
      </c>
      <c r="C67" s="89" t="s">
        <v>12</v>
      </c>
      <c r="D67" s="39" t="s">
        <v>13</v>
      </c>
      <c r="S67" s="17"/>
      <c r="T67" s="17"/>
    </row>
    <row r="68" spans="1:22" ht="15" customHeight="1" x14ac:dyDescent="0.2">
      <c r="A68" s="108" t="s">
        <v>74</v>
      </c>
      <c r="B68" s="7" t="s">
        <v>75</v>
      </c>
      <c r="C68" s="90">
        <v>8.2000000000000003E-2</v>
      </c>
      <c r="D68" s="91">
        <v>30</v>
      </c>
      <c r="S68" s="17"/>
      <c r="T68" s="17"/>
    </row>
    <row r="69" spans="1:22" ht="15" customHeight="1" x14ac:dyDescent="0.2">
      <c r="A69" s="109"/>
      <c r="B69" s="8" t="s">
        <v>76</v>
      </c>
      <c r="C69" s="92">
        <v>0.32</v>
      </c>
      <c r="D69" s="93">
        <v>117</v>
      </c>
      <c r="S69" s="17"/>
      <c r="T69" s="17"/>
    </row>
    <row r="70" spans="1:22" ht="15" customHeight="1" x14ac:dyDescent="0.2">
      <c r="A70" s="109"/>
      <c r="B70" s="7" t="s">
        <v>77</v>
      </c>
      <c r="C70" s="90">
        <v>0.48399999999999999</v>
      </c>
      <c r="D70" s="91">
        <v>177</v>
      </c>
      <c r="R70" s="30"/>
      <c r="S70" s="31"/>
      <c r="T70" s="31"/>
      <c r="U70" s="30"/>
    </row>
    <row r="71" spans="1:22" ht="15" customHeight="1" x14ac:dyDescent="0.2">
      <c r="A71" s="109"/>
      <c r="B71" s="12" t="s">
        <v>78</v>
      </c>
      <c r="C71" s="94">
        <v>0.115</v>
      </c>
      <c r="D71" s="95">
        <v>42</v>
      </c>
      <c r="R71" s="30"/>
      <c r="S71" s="31"/>
      <c r="T71" s="31"/>
      <c r="U71" s="30"/>
    </row>
    <row r="72" spans="1:22" ht="13.5" customHeight="1" x14ac:dyDescent="0.2">
      <c r="A72" s="109"/>
      <c r="B72" s="9"/>
      <c r="C72" s="35"/>
      <c r="D72" s="35"/>
      <c r="R72" s="30"/>
      <c r="S72" s="31"/>
      <c r="T72" s="31"/>
      <c r="U72" s="30"/>
      <c r="V72" s="9"/>
    </row>
    <row r="73" spans="1:22" ht="13.5" customHeight="1" x14ac:dyDescent="0.2">
      <c r="A73" s="109"/>
      <c r="B73" s="9"/>
      <c r="C73" s="35"/>
      <c r="D73" s="35"/>
      <c r="R73" s="30"/>
      <c r="S73" s="31"/>
      <c r="T73" s="31"/>
      <c r="U73" s="9"/>
      <c r="V73" s="9"/>
    </row>
    <row r="74" spans="1:22" ht="13.5" customHeight="1" x14ac:dyDescent="0.2">
      <c r="A74" s="109"/>
      <c r="B74" s="9"/>
      <c r="C74" s="114" t="s">
        <v>7</v>
      </c>
      <c r="D74" s="113"/>
      <c r="R74" s="30"/>
      <c r="S74" s="31"/>
      <c r="T74" s="31"/>
      <c r="U74" s="9"/>
      <c r="V74" s="9"/>
    </row>
    <row r="75" spans="1:22" ht="13.5" customHeight="1" x14ac:dyDescent="0.2">
      <c r="A75" s="109"/>
      <c r="B75" s="5" t="s">
        <v>79</v>
      </c>
      <c r="C75" s="89" t="s">
        <v>12</v>
      </c>
      <c r="D75" s="89" t="s">
        <v>13</v>
      </c>
      <c r="R75" s="30"/>
      <c r="S75" s="31"/>
      <c r="T75" s="31"/>
    </row>
    <row r="76" spans="1:22" ht="15" customHeight="1" x14ac:dyDescent="0.2">
      <c r="A76" s="109"/>
      <c r="B76" s="7" t="s">
        <v>80</v>
      </c>
      <c r="C76" s="90">
        <v>1.4E-2</v>
      </c>
      <c r="D76" s="91">
        <v>5</v>
      </c>
      <c r="R76" s="30"/>
      <c r="S76" s="31"/>
      <c r="T76" s="31"/>
    </row>
    <row r="77" spans="1:22" ht="15" customHeight="1" x14ac:dyDescent="0.2">
      <c r="A77" s="109"/>
      <c r="B77" s="8" t="s">
        <v>81</v>
      </c>
      <c r="C77" s="92">
        <v>3.0000000000000001E-3</v>
      </c>
      <c r="D77" s="93">
        <v>1</v>
      </c>
      <c r="R77" s="30"/>
      <c r="S77" s="31"/>
      <c r="T77" s="31"/>
    </row>
    <row r="78" spans="1:22" ht="15" customHeight="1" x14ac:dyDescent="0.2">
      <c r="A78" s="109"/>
      <c r="B78" s="7" t="s">
        <v>82</v>
      </c>
      <c r="C78" s="90">
        <v>0</v>
      </c>
      <c r="D78" s="91">
        <v>0</v>
      </c>
      <c r="R78" s="30"/>
      <c r="S78" s="31"/>
      <c r="T78" s="31"/>
    </row>
    <row r="79" spans="1:22" ht="15" customHeight="1" x14ac:dyDescent="0.2">
      <c r="A79" s="109"/>
      <c r="B79" s="8" t="s">
        <v>83</v>
      </c>
      <c r="C79" s="92">
        <v>9.2999999999999999E-2</v>
      </c>
      <c r="D79" s="93">
        <v>34</v>
      </c>
      <c r="R79" s="30"/>
      <c r="S79" s="31"/>
      <c r="T79" s="31"/>
    </row>
    <row r="80" spans="1:22" ht="15" customHeight="1" x14ac:dyDescent="0.2">
      <c r="A80" s="109"/>
      <c r="B80" s="7" t="s">
        <v>84</v>
      </c>
      <c r="C80" s="90">
        <v>5.0000000000000001E-3</v>
      </c>
      <c r="D80" s="91">
        <v>2</v>
      </c>
      <c r="R80" s="30"/>
      <c r="S80" s="31"/>
      <c r="T80" s="31"/>
    </row>
    <row r="81" spans="1:20" ht="15" customHeight="1" x14ac:dyDescent="0.2">
      <c r="A81" s="109"/>
      <c r="B81" s="8" t="s">
        <v>85</v>
      </c>
      <c r="C81" s="92">
        <v>0.59599999999999997</v>
      </c>
      <c r="D81" s="93">
        <v>218</v>
      </c>
      <c r="R81" s="30"/>
      <c r="S81" s="31"/>
      <c r="T81" s="31"/>
    </row>
    <row r="82" spans="1:20" ht="15" customHeight="1" x14ac:dyDescent="0.2">
      <c r="A82" s="109"/>
      <c r="B82" s="7" t="s">
        <v>86</v>
      </c>
      <c r="C82" s="90">
        <v>6.3E-2</v>
      </c>
      <c r="D82" s="91">
        <v>23</v>
      </c>
      <c r="R82" s="30"/>
      <c r="S82" s="31"/>
      <c r="T82" s="31"/>
    </row>
    <row r="83" spans="1:20" ht="15" customHeight="1" x14ac:dyDescent="0.2">
      <c r="A83" s="109"/>
      <c r="B83" s="115" t="s">
        <v>95</v>
      </c>
      <c r="C83" s="116">
        <v>4.3999999999999997E-2</v>
      </c>
      <c r="D83" s="117">
        <v>16</v>
      </c>
      <c r="R83" s="30"/>
      <c r="S83" s="31"/>
      <c r="T83" s="31"/>
    </row>
    <row r="84" spans="1:20" ht="15" customHeight="1" thickBot="1" x14ac:dyDescent="0.25">
      <c r="A84" s="109"/>
      <c r="B84" s="118" t="s">
        <v>87</v>
      </c>
      <c r="C84" s="119">
        <v>0.254</v>
      </c>
      <c r="D84" s="120">
        <v>93</v>
      </c>
      <c r="R84" s="30"/>
      <c r="S84" s="31"/>
      <c r="T84" s="31"/>
    </row>
    <row r="85" spans="1:20" ht="13.5" customHeight="1" x14ac:dyDescent="0.2">
      <c r="A85" s="32"/>
      <c r="B85" s="33"/>
      <c r="C85" s="62"/>
      <c r="D85" s="62"/>
      <c r="R85" s="30"/>
      <c r="S85" s="31"/>
      <c r="T85" s="31"/>
    </row>
    <row r="86" spans="1:20" ht="13.5" customHeight="1" x14ac:dyDescent="0.2">
      <c r="A86" s="8"/>
      <c r="B86" s="34" t="s">
        <v>88</v>
      </c>
      <c r="R86" s="30"/>
      <c r="S86" s="31"/>
      <c r="T86" s="31"/>
    </row>
    <row r="87" spans="1:20" ht="13.5" customHeight="1" x14ac:dyDescent="0.2">
      <c r="A87" s="8"/>
      <c r="B87" s="34" t="s">
        <v>89</v>
      </c>
      <c r="R87" s="30"/>
      <c r="S87" s="31"/>
      <c r="T87" s="31"/>
    </row>
    <row r="88" spans="1:20" ht="13.5" customHeight="1" x14ac:dyDescent="0.2">
      <c r="A88" s="8"/>
      <c r="S88" s="17"/>
      <c r="T88" s="17"/>
    </row>
    <row r="89" spans="1:20" ht="13.5" customHeight="1" x14ac:dyDescent="0.2">
      <c r="A89" s="8"/>
      <c r="S89" s="17"/>
      <c r="T89" s="17"/>
    </row>
    <row r="90" spans="1:20" ht="13.5" customHeight="1" x14ac:dyDescent="0.2">
      <c r="A90" s="8"/>
      <c r="C90" s="99"/>
      <c r="S90" s="17"/>
      <c r="T90" s="17"/>
    </row>
    <row r="91" spans="1:20" ht="13.5" customHeight="1" x14ac:dyDescent="0.2">
      <c r="A91" s="8"/>
      <c r="S91" s="17"/>
      <c r="T91" s="17"/>
    </row>
    <row r="92" spans="1:20" ht="13.5" customHeight="1" x14ac:dyDescent="0.2">
      <c r="A92" s="8"/>
      <c r="S92" s="17"/>
      <c r="T92" s="17"/>
    </row>
    <row r="93" spans="1:20" ht="13.5" customHeight="1" x14ac:dyDescent="0.2">
      <c r="A93" s="8"/>
      <c r="S93" s="17"/>
      <c r="T93" s="17"/>
    </row>
    <row r="94" spans="1:20" ht="13.5" customHeight="1" x14ac:dyDescent="0.2">
      <c r="A94" s="8"/>
      <c r="S94" s="17"/>
      <c r="T94" s="17"/>
    </row>
    <row r="95" spans="1:20" ht="13.5" customHeight="1" x14ac:dyDescent="0.2">
      <c r="A95" s="8"/>
      <c r="S95" s="17"/>
      <c r="T95" s="17"/>
    </row>
    <row r="96" spans="1:20" ht="13.5" customHeight="1" x14ac:dyDescent="0.2">
      <c r="A96" s="8"/>
      <c r="S96" s="17"/>
      <c r="T96" s="17"/>
    </row>
    <row r="97" spans="1:20" ht="13.5" customHeight="1" x14ac:dyDescent="0.2">
      <c r="A97" s="8"/>
      <c r="S97" s="17"/>
      <c r="T97" s="17"/>
    </row>
    <row r="98" spans="1:20" ht="13.5" customHeight="1" x14ac:dyDescent="0.2">
      <c r="A98" s="8"/>
      <c r="S98" s="17"/>
      <c r="T98" s="17"/>
    </row>
    <row r="99" spans="1:20" ht="13.5" customHeight="1" x14ac:dyDescent="0.2">
      <c r="A99" s="8"/>
      <c r="S99" s="17"/>
      <c r="T99" s="17"/>
    </row>
    <row r="100" spans="1:20" ht="13.5" customHeight="1" x14ac:dyDescent="0.2">
      <c r="A100" s="8"/>
      <c r="S100" s="17"/>
      <c r="T100" s="17"/>
    </row>
    <row r="101" spans="1:20" ht="13.5" customHeight="1" x14ac:dyDescent="0.2">
      <c r="A101" s="8"/>
      <c r="S101" s="17"/>
      <c r="T101" s="17"/>
    </row>
    <row r="102" spans="1:20" ht="13.5" customHeight="1" x14ac:dyDescent="0.2">
      <c r="A102" s="8"/>
      <c r="S102" s="17"/>
      <c r="T102" s="17"/>
    </row>
    <row r="103" spans="1:20" ht="13.5" customHeight="1" x14ac:dyDescent="0.2">
      <c r="A103" s="8"/>
      <c r="S103" s="17"/>
      <c r="T103" s="17"/>
    </row>
    <row r="104" spans="1:20" ht="13.5" customHeight="1" x14ac:dyDescent="0.2">
      <c r="A104" s="8"/>
      <c r="S104" s="17"/>
      <c r="T104" s="17"/>
    </row>
    <row r="105" spans="1:20" ht="13.5" customHeight="1" x14ac:dyDescent="0.2">
      <c r="A105" s="8"/>
      <c r="S105" s="17"/>
      <c r="T105" s="17"/>
    </row>
    <row r="106" spans="1:20" ht="13.5" customHeight="1" x14ac:dyDescent="0.2">
      <c r="A106" s="8"/>
      <c r="S106" s="17"/>
      <c r="T106" s="17"/>
    </row>
    <row r="107" spans="1:20" ht="13.5" customHeight="1" x14ac:dyDescent="0.2">
      <c r="A107" s="8"/>
      <c r="S107" s="17"/>
      <c r="T107" s="17"/>
    </row>
    <row r="108" spans="1:20" ht="13.5" customHeight="1" x14ac:dyDescent="0.2">
      <c r="A108" s="8"/>
      <c r="S108" s="17"/>
      <c r="T108" s="17"/>
    </row>
    <row r="109" spans="1:20" ht="13.5" customHeight="1" x14ac:dyDescent="0.2">
      <c r="A109" s="8"/>
      <c r="S109" s="17"/>
      <c r="T109" s="17"/>
    </row>
    <row r="110" spans="1:20" ht="13.5" customHeight="1" x14ac:dyDescent="0.2">
      <c r="A110" s="8"/>
      <c r="S110" s="17"/>
      <c r="T110" s="17"/>
    </row>
    <row r="111" spans="1:20" ht="13.5" customHeight="1" x14ac:dyDescent="0.2">
      <c r="A111" s="8"/>
      <c r="S111" s="17"/>
      <c r="T111" s="17"/>
    </row>
    <row r="112" spans="1:20" ht="13.5" customHeight="1" x14ac:dyDescent="0.2">
      <c r="A112" s="8"/>
      <c r="S112" s="17"/>
      <c r="T112" s="17"/>
    </row>
    <row r="113" spans="1:20" ht="13.5" customHeight="1" x14ac:dyDescent="0.2">
      <c r="A113" s="8"/>
      <c r="S113" s="17"/>
      <c r="T113" s="17"/>
    </row>
    <row r="114" spans="1:20" ht="13.5" customHeight="1" x14ac:dyDescent="0.2">
      <c r="A114" s="8"/>
      <c r="S114" s="17"/>
      <c r="T114" s="17"/>
    </row>
    <row r="115" spans="1:20" ht="13.5" customHeight="1" x14ac:dyDescent="0.2">
      <c r="A115" s="8"/>
      <c r="S115" s="17"/>
      <c r="T115" s="17"/>
    </row>
    <row r="116" spans="1:20" ht="13.5" customHeight="1" x14ac:dyDescent="0.2">
      <c r="A116" s="8"/>
      <c r="S116" s="17"/>
      <c r="T116" s="17"/>
    </row>
    <row r="117" spans="1:20" ht="13.5" customHeight="1" x14ac:dyDescent="0.2">
      <c r="A117" s="8"/>
      <c r="S117" s="17"/>
      <c r="T117" s="17"/>
    </row>
    <row r="118" spans="1:20" ht="13.5" customHeight="1" x14ac:dyDescent="0.2">
      <c r="A118" s="8"/>
      <c r="S118" s="17"/>
      <c r="T118" s="17"/>
    </row>
    <row r="119" spans="1:20" ht="13.5" customHeight="1" x14ac:dyDescent="0.2">
      <c r="A119" s="8"/>
      <c r="S119" s="17"/>
      <c r="T119" s="17"/>
    </row>
    <row r="120" spans="1:20" ht="13.5" customHeight="1" x14ac:dyDescent="0.2">
      <c r="A120" s="8"/>
      <c r="S120" s="17"/>
      <c r="T120" s="17"/>
    </row>
    <row r="121" spans="1:20" ht="13.5" customHeight="1" x14ac:dyDescent="0.2">
      <c r="A121" s="8"/>
      <c r="S121" s="17"/>
      <c r="T121" s="17"/>
    </row>
    <row r="122" spans="1:20" ht="13.5" customHeight="1" x14ac:dyDescent="0.2">
      <c r="A122" s="8"/>
      <c r="S122" s="17"/>
      <c r="T122" s="17"/>
    </row>
    <row r="123" spans="1:20" ht="13.5" customHeight="1" x14ac:dyDescent="0.2">
      <c r="A123" s="8"/>
      <c r="S123" s="17"/>
      <c r="T123" s="17"/>
    </row>
    <row r="124" spans="1:20" ht="13.5" customHeight="1" x14ac:dyDescent="0.2">
      <c r="A124" s="8"/>
      <c r="S124" s="17"/>
      <c r="T124" s="17"/>
    </row>
    <row r="125" spans="1:20" ht="13.5" customHeight="1" x14ac:dyDescent="0.2">
      <c r="A125" s="8"/>
      <c r="S125" s="17"/>
      <c r="T125" s="17"/>
    </row>
    <row r="126" spans="1:20" ht="13.5" customHeight="1" x14ac:dyDescent="0.2">
      <c r="A126" s="8"/>
      <c r="S126" s="17"/>
      <c r="T126" s="17"/>
    </row>
    <row r="127" spans="1:20" ht="13.5" customHeight="1" x14ac:dyDescent="0.2">
      <c r="A127" s="8"/>
      <c r="S127" s="17"/>
      <c r="T127" s="17"/>
    </row>
    <row r="128" spans="1:20" ht="13.5" customHeight="1" x14ac:dyDescent="0.2">
      <c r="A128" s="8"/>
      <c r="S128" s="17"/>
      <c r="T128" s="17"/>
    </row>
    <row r="129" spans="1:20" ht="13.5" customHeight="1" x14ac:dyDescent="0.2">
      <c r="A129" s="8"/>
      <c r="S129" s="17"/>
      <c r="T129" s="17"/>
    </row>
    <row r="130" spans="1:20" ht="13.5" customHeight="1" x14ac:dyDescent="0.2">
      <c r="A130" s="8"/>
      <c r="S130" s="17"/>
      <c r="T130" s="17"/>
    </row>
    <row r="131" spans="1:20" ht="13.5" customHeight="1" x14ac:dyDescent="0.2">
      <c r="A131" s="8"/>
      <c r="S131" s="17"/>
      <c r="T131" s="17"/>
    </row>
    <row r="132" spans="1:20" ht="13.5" customHeight="1" x14ac:dyDescent="0.2">
      <c r="A132" s="8"/>
      <c r="S132" s="17"/>
      <c r="T132" s="17"/>
    </row>
    <row r="133" spans="1:20" ht="13.5" customHeight="1" x14ac:dyDescent="0.2">
      <c r="A133" s="8"/>
      <c r="S133" s="17"/>
      <c r="T133" s="17"/>
    </row>
    <row r="134" spans="1:20" ht="13.5" customHeight="1" x14ac:dyDescent="0.2">
      <c r="A134" s="8"/>
      <c r="S134" s="17"/>
      <c r="T134" s="17"/>
    </row>
    <row r="135" spans="1:20" ht="13.5" customHeight="1" x14ac:dyDescent="0.2">
      <c r="A135" s="8"/>
      <c r="S135" s="17"/>
      <c r="T135" s="17"/>
    </row>
    <row r="136" spans="1:20" ht="13.5" customHeight="1" x14ac:dyDescent="0.2">
      <c r="A136" s="8"/>
      <c r="S136" s="17"/>
      <c r="T136" s="17"/>
    </row>
    <row r="137" spans="1:20" ht="13.5" customHeight="1" x14ac:dyDescent="0.2">
      <c r="A137" s="8"/>
      <c r="S137" s="17"/>
      <c r="T137" s="17"/>
    </row>
    <row r="138" spans="1:20" ht="13.5" customHeight="1" x14ac:dyDescent="0.2">
      <c r="A138" s="8"/>
      <c r="S138" s="17"/>
      <c r="T138" s="17"/>
    </row>
    <row r="139" spans="1:20" ht="13.5" customHeight="1" x14ac:dyDescent="0.2">
      <c r="A139" s="8"/>
      <c r="S139" s="17"/>
      <c r="T139" s="17"/>
    </row>
    <row r="140" spans="1:20" ht="13.5" customHeight="1" x14ac:dyDescent="0.2">
      <c r="A140" s="8"/>
      <c r="S140" s="17"/>
      <c r="T140" s="17"/>
    </row>
    <row r="141" spans="1:20" ht="13.5" customHeight="1" x14ac:dyDescent="0.2">
      <c r="A141" s="8"/>
      <c r="S141" s="17"/>
      <c r="T141" s="17"/>
    </row>
    <row r="142" spans="1:20" ht="13.5" customHeight="1" x14ac:dyDescent="0.2">
      <c r="A142" s="8"/>
      <c r="S142" s="17"/>
      <c r="T142" s="17"/>
    </row>
    <row r="143" spans="1:20" ht="13.5" customHeight="1" x14ac:dyDescent="0.2">
      <c r="A143" s="8"/>
      <c r="S143" s="17"/>
      <c r="T143" s="17"/>
    </row>
    <row r="144" spans="1:20" ht="13.5" customHeight="1" x14ac:dyDescent="0.2">
      <c r="A144" s="8"/>
      <c r="S144" s="17"/>
      <c r="T144" s="17"/>
    </row>
    <row r="145" spans="1:20" ht="13.5" customHeight="1" x14ac:dyDescent="0.2">
      <c r="A145" s="8"/>
      <c r="S145" s="17"/>
      <c r="T145" s="17"/>
    </row>
    <row r="146" spans="1:20" ht="13.5" customHeight="1" x14ac:dyDescent="0.2">
      <c r="A146" s="8"/>
      <c r="S146" s="17"/>
      <c r="T146" s="17"/>
    </row>
    <row r="147" spans="1:20" ht="13.5" customHeight="1" x14ac:dyDescent="0.2">
      <c r="A147" s="8"/>
      <c r="S147" s="17"/>
      <c r="T147" s="17"/>
    </row>
    <row r="148" spans="1:20" ht="13.5" customHeight="1" x14ac:dyDescent="0.2">
      <c r="A148" s="8"/>
      <c r="S148" s="17"/>
      <c r="T148" s="17"/>
    </row>
    <row r="149" spans="1:20" ht="13.5" customHeight="1" x14ac:dyDescent="0.2">
      <c r="A149" s="8"/>
      <c r="S149" s="17"/>
      <c r="T149" s="17"/>
    </row>
    <row r="150" spans="1:20" ht="13.5" customHeight="1" x14ac:dyDescent="0.2">
      <c r="A150" s="8"/>
      <c r="S150" s="17"/>
      <c r="T150" s="17"/>
    </row>
    <row r="151" spans="1:20" ht="13.5" customHeight="1" x14ac:dyDescent="0.2">
      <c r="A151" s="8"/>
      <c r="S151" s="17"/>
      <c r="T151" s="17"/>
    </row>
    <row r="152" spans="1:20" ht="13.5" customHeight="1" x14ac:dyDescent="0.2">
      <c r="A152" s="8"/>
      <c r="S152" s="17"/>
      <c r="T152" s="17"/>
    </row>
    <row r="153" spans="1:20" ht="13.5" customHeight="1" x14ac:dyDescent="0.2">
      <c r="A153" s="8"/>
      <c r="S153" s="17"/>
      <c r="T153" s="17"/>
    </row>
    <row r="154" spans="1:20" ht="13.5" customHeight="1" x14ac:dyDescent="0.2">
      <c r="A154" s="8"/>
      <c r="S154" s="17"/>
      <c r="T154" s="17"/>
    </row>
    <row r="155" spans="1:20" ht="13.5" customHeight="1" x14ac:dyDescent="0.2">
      <c r="A155" s="8"/>
      <c r="S155" s="17"/>
      <c r="T155" s="17"/>
    </row>
    <row r="156" spans="1:20" ht="13.5" customHeight="1" x14ac:dyDescent="0.2">
      <c r="A156" s="8"/>
      <c r="S156" s="17"/>
      <c r="T156" s="17"/>
    </row>
    <row r="157" spans="1:20" ht="13.5" customHeight="1" x14ac:dyDescent="0.2">
      <c r="A157" s="8"/>
      <c r="S157" s="17"/>
      <c r="T157" s="17"/>
    </row>
    <row r="158" spans="1:20" ht="13.5" customHeight="1" x14ac:dyDescent="0.2">
      <c r="A158" s="8"/>
      <c r="S158" s="17"/>
      <c r="T158" s="17"/>
    </row>
    <row r="159" spans="1:20" ht="13.5" customHeight="1" x14ac:dyDescent="0.2">
      <c r="A159" s="8"/>
      <c r="S159" s="17"/>
      <c r="T159" s="17"/>
    </row>
    <row r="160" spans="1:20" ht="13.5" customHeight="1" x14ac:dyDescent="0.2">
      <c r="A160" s="8"/>
      <c r="S160" s="17"/>
      <c r="T160" s="17"/>
    </row>
    <row r="161" spans="1:20" ht="13.5" customHeight="1" x14ac:dyDescent="0.2">
      <c r="A161" s="8"/>
      <c r="S161" s="17"/>
      <c r="T161" s="17"/>
    </row>
    <row r="162" spans="1:20" ht="13.5" customHeight="1" x14ac:dyDescent="0.2">
      <c r="A162" s="8"/>
      <c r="S162" s="17"/>
      <c r="T162" s="17"/>
    </row>
    <row r="163" spans="1:20" ht="13.5" customHeight="1" x14ac:dyDescent="0.2">
      <c r="A163" s="8"/>
      <c r="S163" s="17"/>
      <c r="T163" s="17"/>
    </row>
    <row r="164" spans="1:20" ht="13.5" customHeight="1" x14ac:dyDescent="0.2">
      <c r="A164" s="8"/>
      <c r="S164" s="17"/>
      <c r="T164" s="17"/>
    </row>
    <row r="165" spans="1:20" ht="13.5" customHeight="1" x14ac:dyDescent="0.2">
      <c r="A165" s="8"/>
      <c r="S165" s="17"/>
      <c r="T165" s="17"/>
    </row>
    <row r="166" spans="1:20" ht="13.5" customHeight="1" x14ac:dyDescent="0.2">
      <c r="A166" s="8"/>
      <c r="S166" s="17"/>
      <c r="T166" s="17"/>
    </row>
    <row r="167" spans="1:20" ht="13.5" customHeight="1" x14ac:dyDescent="0.2">
      <c r="A167" s="8"/>
      <c r="S167" s="17"/>
      <c r="T167" s="17"/>
    </row>
    <row r="168" spans="1:20" ht="13.5" customHeight="1" x14ac:dyDescent="0.2">
      <c r="A168" s="8"/>
      <c r="S168" s="17"/>
      <c r="T168" s="17"/>
    </row>
    <row r="169" spans="1:20" ht="13.5" customHeight="1" x14ac:dyDescent="0.2">
      <c r="A169" s="8"/>
      <c r="S169" s="17"/>
      <c r="T169" s="17"/>
    </row>
    <row r="170" spans="1:20" ht="13.5" customHeight="1" x14ac:dyDescent="0.2">
      <c r="A170" s="8"/>
      <c r="S170" s="17"/>
      <c r="T170" s="17"/>
    </row>
    <row r="171" spans="1:20" ht="13.5" customHeight="1" x14ac:dyDescent="0.2">
      <c r="A171" s="8"/>
      <c r="S171" s="17"/>
      <c r="T171" s="17"/>
    </row>
    <row r="172" spans="1:20" ht="13.5" customHeight="1" x14ac:dyDescent="0.2">
      <c r="A172" s="8"/>
      <c r="S172" s="17"/>
      <c r="T172" s="17"/>
    </row>
    <row r="173" spans="1:20" ht="13.5" customHeight="1" x14ac:dyDescent="0.2">
      <c r="A173" s="8"/>
      <c r="S173" s="17"/>
      <c r="T173" s="17"/>
    </row>
    <row r="174" spans="1:20" ht="13.5" customHeight="1" x14ac:dyDescent="0.2">
      <c r="A174" s="8"/>
      <c r="S174" s="17"/>
      <c r="T174" s="17"/>
    </row>
    <row r="175" spans="1:20" ht="13.5" customHeight="1" x14ac:dyDescent="0.2">
      <c r="A175" s="8"/>
      <c r="S175" s="17"/>
      <c r="T175" s="17"/>
    </row>
    <row r="176" spans="1:20" ht="13.5" customHeight="1" x14ac:dyDescent="0.2">
      <c r="A176" s="8"/>
      <c r="S176" s="17"/>
      <c r="T176" s="17"/>
    </row>
    <row r="177" spans="1:20" ht="13.5" customHeight="1" x14ac:dyDescent="0.2">
      <c r="A177" s="8"/>
      <c r="S177" s="17"/>
      <c r="T177" s="17"/>
    </row>
    <row r="178" spans="1:20" ht="13.5" customHeight="1" x14ac:dyDescent="0.2">
      <c r="A178" s="8"/>
      <c r="S178" s="17"/>
      <c r="T178" s="17"/>
    </row>
    <row r="179" spans="1:20" ht="13.5" customHeight="1" x14ac:dyDescent="0.2">
      <c r="A179" s="8"/>
      <c r="S179" s="17"/>
      <c r="T179" s="17"/>
    </row>
    <row r="180" spans="1:20" ht="13.5" customHeight="1" x14ac:dyDescent="0.2">
      <c r="A180" s="8"/>
      <c r="S180" s="17"/>
      <c r="T180" s="17"/>
    </row>
    <row r="181" spans="1:20" ht="13.5" customHeight="1" x14ac:dyDescent="0.2">
      <c r="A181" s="8"/>
      <c r="S181" s="17"/>
      <c r="T181" s="17"/>
    </row>
    <row r="182" spans="1:20" ht="13.5" customHeight="1" x14ac:dyDescent="0.2">
      <c r="A182" s="8"/>
      <c r="S182" s="17"/>
      <c r="T182" s="17"/>
    </row>
    <row r="183" spans="1:20" ht="13.5" customHeight="1" x14ac:dyDescent="0.2">
      <c r="A183" s="8"/>
      <c r="S183" s="17"/>
      <c r="T183" s="17"/>
    </row>
    <row r="184" spans="1:20" ht="13.5" customHeight="1" x14ac:dyDescent="0.2">
      <c r="A184" s="8"/>
      <c r="S184" s="17"/>
      <c r="T184" s="17"/>
    </row>
    <row r="185" spans="1:20" ht="13.5" customHeight="1" x14ac:dyDescent="0.2">
      <c r="A185" s="8"/>
      <c r="S185" s="17"/>
      <c r="T185" s="17"/>
    </row>
    <row r="186" spans="1:20" ht="13.5" customHeight="1" x14ac:dyDescent="0.2">
      <c r="A186" s="8"/>
      <c r="S186" s="17"/>
      <c r="T186" s="17"/>
    </row>
    <row r="187" spans="1:20" ht="13.5" customHeight="1" x14ac:dyDescent="0.2">
      <c r="A187" s="8"/>
      <c r="S187" s="17"/>
      <c r="T187" s="17"/>
    </row>
    <row r="188" spans="1:20" ht="13.5" customHeight="1" x14ac:dyDescent="0.2">
      <c r="A188" s="8"/>
      <c r="S188" s="17"/>
      <c r="T188" s="17"/>
    </row>
    <row r="189" spans="1:20" ht="13.5" customHeight="1" x14ac:dyDescent="0.2">
      <c r="A189" s="8"/>
      <c r="S189" s="17"/>
      <c r="T189" s="17"/>
    </row>
    <row r="190" spans="1:20" ht="13.5" customHeight="1" x14ac:dyDescent="0.2">
      <c r="A190" s="8"/>
      <c r="S190" s="17"/>
      <c r="T190" s="17"/>
    </row>
    <row r="191" spans="1:20" ht="13.5" customHeight="1" x14ac:dyDescent="0.2">
      <c r="A191" s="8"/>
      <c r="S191" s="17"/>
      <c r="T191" s="17"/>
    </row>
    <row r="192" spans="1:20" ht="13.5" customHeight="1" x14ac:dyDescent="0.2">
      <c r="A192" s="8"/>
      <c r="S192" s="17"/>
      <c r="T192" s="17"/>
    </row>
    <row r="193" spans="1:20" ht="13.5" customHeight="1" x14ac:dyDescent="0.2">
      <c r="A193" s="8"/>
      <c r="S193" s="17"/>
      <c r="T193" s="17"/>
    </row>
    <row r="194" spans="1:20" ht="13.5" customHeight="1" x14ac:dyDescent="0.2">
      <c r="A194" s="8"/>
      <c r="S194" s="17"/>
      <c r="T194" s="17"/>
    </row>
    <row r="195" spans="1:20" ht="13.5" customHeight="1" x14ac:dyDescent="0.2">
      <c r="A195" s="8"/>
      <c r="S195" s="17"/>
      <c r="T195" s="17"/>
    </row>
    <row r="196" spans="1:20" ht="13.5" customHeight="1" x14ac:dyDescent="0.2">
      <c r="A196" s="8"/>
      <c r="S196" s="17"/>
      <c r="T196" s="17"/>
    </row>
    <row r="197" spans="1:20" ht="13.5" customHeight="1" x14ac:dyDescent="0.2">
      <c r="A197" s="8"/>
      <c r="S197" s="17"/>
      <c r="T197" s="17"/>
    </row>
    <row r="198" spans="1:20" ht="13.5" customHeight="1" x14ac:dyDescent="0.2">
      <c r="A198" s="8"/>
      <c r="S198" s="17"/>
      <c r="T198" s="17"/>
    </row>
    <row r="199" spans="1:20" ht="13.5" customHeight="1" x14ac:dyDescent="0.2">
      <c r="A199" s="8"/>
      <c r="S199" s="17"/>
      <c r="T199" s="17"/>
    </row>
    <row r="200" spans="1:20" ht="13.5" customHeight="1" x14ac:dyDescent="0.2">
      <c r="A200" s="8"/>
      <c r="S200" s="17"/>
      <c r="T200" s="17"/>
    </row>
    <row r="201" spans="1:20" ht="13.5" customHeight="1" x14ac:dyDescent="0.2">
      <c r="A201" s="8"/>
      <c r="S201" s="17"/>
      <c r="T201" s="17"/>
    </row>
    <row r="202" spans="1:20" ht="13.5" customHeight="1" x14ac:dyDescent="0.2">
      <c r="A202" s="8"/>
      <c r="S202" s="17"/>
      <c r="T202" s="17"/>
    </row>
    <row r="203" spans="1:20" ht="13.5" customHeight="1" x14ac:dyDescent="0.2">
      <c r="A203" s="8"/>
      <c r="S203" s="17"/>
      <c r="T203" s="17"/>
    </row>
    <row r="204" spans="1:20" ht="13.5" customHeight="1" x14ac:dyDescent="0.2">
      <c r="A204" s="8"/>
      <c r="S204" s="17"/>
      <c r="T204" s="17"/>
    </row>
    <row r="205" spans="1:20" ht="13.5" customHeight="1" x14ac:dyDescent="0.2">
      <c r="A205" s="8"/>
      <c r="S205" s="17"/>
      <c r="T205" s="17"/>
    </row>
    <row r="206" spans="1:20" ht="13.5" customHeight="1" x14ac:dyDescent="0.2">
      <c r="A206" s="8"/>
      <c r="S206" s="17"/>
      <c r="T206" s="17"/>
    </row>
    <row r="207" spans="1:20" ht="13.5" customHeight="1" x14ac:dyDescent="0.2">
      <c r="A207" s="8"/>
      <c r="S207" s="17"/>
      <c r="T207" s="17"/>
    </row>
    <row r="208" spans="1:20" ht="13.5" customHeight="1" x14ac:dyDescent="0.2">
      <c r="A208" s="8"/>
      <c r="S208" s="17"/>
      <c r="T208" s="17"/>
    </row>
    <row r="209" spans="1:20" ht="13.5" customHeight="1" x14ac:dyDescent="0.2">
      <c r="A209" s="8"/>
      <c r="S209" s="17"/>
      <c r="T209" s="17"/>
    </row>
    <row r="210" spans="1:20" ht="13.5" customHeight="1" x14ac:dyDescent="0.2">
      <c r="A210" s="8"/>
      <c r="S210" s="17"/>
      <c r="T210" s="17"/>
    </row>
    <row r="211" spans="1:20" ht="13.5" customHeight="1" x14ac:dyDescent="0.2">
      <c r="A211" s="8"/>
      <c r="S211" s="17"/>
      <c r="T211" s="17"/>
    </row>
    <row r="212" spans="1:20" ht="13.5" customHeight="1" x14ac:dyDescent="0.2">
      <c r="A212" s="8"/>
      <c r="S212" s="17"/>
      <c r="T212" s="17"/>
    </row>
    <row r="213" spans="1:20" ht="13.5" customHeight="1" x14ac:dyDescent="0.2">
      <c r="A213" s="8"/>
      <c r="S213" s="17"/>
      <c r="T213" s="17"/>
    </row>
    <row r="214" spans="1:20" ht="13.5" customHeight="1" x14ac:dyDescent="0.2">
      <c r="A214" s="8"/>
      <c r="S214" s="17"/>
      <c r="T214" s="17"/>
    </row>
    <row r="215" spans="1:20" ht="13.5" customHeight="1" x14ac:dyDescent="0.2">
      <c r="A215" s="8"/>
      <c r="S215" s="17"/>
      <c r="T215" s="17"/>
    </row>
    <row r="216" spans="1:20" ht="13.5" customHeight="1" x14ac:dyDescent="0.2">
      <c r="A216" s="8"/>
      <c r="S216" s="17"/>
      <c r="T216" s="17"/>
    </row>
    <row r="217" spans="1:20" ht="13.5" customHeight="1" x14ac:dyDescent="0.2">
      <c r="A217" s="8"/>
      <c r="S217" s="17"/>
      <c r="T217" s="17"/>
    </row>
    <row r="218" spans="1:20" ht="13.5" customHeight="1" x14ac:dyDescent="0.2">
      <c r="A218" s="8"/>
      <c r="S218" s="17"/>
      <c r="T218" s="17"/>
    </row>
    <row r="219" spans="1:20" ht="13.5" customHeight="1" x14ac:dyDescent="0.2">
      <c r="A219" s="8"/>
      <c r="S219" s="17"/>
      <c r="T219" s="17"/>
    </row>
    <row r="220" spans="1:20" ht="13.5" customHeight="1" x14ac:dyDescent="0.2">
      <c r="A220" s="8"/>
      <c r="S220" s="17"/>
      <c r="T220" s="17"/>
    </row>
    <row r="221" spans="1:20" ht="13.5" customHeight="1" x14ac:dyDescent="0.2">
      <c r="A221" s="8"/>
      <c r="S221" s="17"/>
      <c r="T221" s="17"/>
    </row>
    <row r="222" spans="1:20" ht="13.5" customHeight="1" x14ac:dyDescent="0.2">
      <c r="A222" s="8"/>
      <c r="S222" s="17"/>
      <c r="T222" s="17"/>
    </row>
    <row r="223" spans="1:20" ht="13.5" customHeight="1" x14ac:dyDescent="0.2">
      <c r="A223" s="8"/>
      <c r="S223" s="17"/>
      <c r="T223" s="17"/>
    </row>
    <row r="224" spans="1:20" ht="13.5" customHeight="1" x14ac:dyDescent="0.2">
      <c r="A224" s="8"/>
      <c r="S224" s="17"/>
      <c r="T224" s="17"/>
    </row>
    <row r="225" spans="1:20" ht="13.5" customHeight="1" x14ac:dyDescent="0.2">
      <c r="A225" s="8"/>
      <c r="S225" s="17"/>
      <c r="T225" s="17"/>
    </row>
    <row r="226" spans="1:20" ht="13.5" customHeight="1" x14ac:dyDescent="0.2">
      <c r="A226" s="8"/>
      <c r="S226" s="17"/>
      <c r="T226" s="17"/>
    </row>
    <row r="227" spans="1:20" ht="13.5" customHeight="1" x14ac:dyDescent="0.2">
      <c r="A227" s="8"/>
      <c r="S227" s="17"/>
      <c r="T227" s="17"/>
    </row>
    <row r="228" spans="1:20" ht="13.5" customHeight="1" x14ac:dyDescent="0.2">
      <c r="A228" s="8"/>
      <c r="S228" s="17"/>
      <c r="T228" s="17"/>
    </row>
    <row r="229" spans="1:20" ht="13.5" customHeight="1" x14ac:dyDescent="0.2">
      <c r="A229" s="8"/>
      <c r="S229" s="17"/>
      <c r="T229" s="17"/>
    </row>
    <row r="230" spans="1:20" ht="13.5" customHeight="1" x14ac:dyDescent="0.2">
      <c r="A230" s="8"/>
      <c r="S230" s="17"/>
      <c r="T230" s="17"/>
    </row>
    <row r="231" spans="1:20" ht="13.5" customHeight="1" x14ac:dyDescent="0.2">
      <c r="A231" s="8"/>
      <c r="S231" s="17"/>
      <c r="T231" s="17"/>
    </row>
    <row r="232" spans="1:20" ht="13.5" customHeight="1" x14ac:dyDescent="0.2">
      <c r="A232" s="8"/>
      <c r="S232" s="17"/>
      <c r="T232" s="17"/>
    </row>
    <row r="233" spans="1:20" ht="13.5" customHeight="1" x14ac:dyDescent="0.2">
      <c r="A233" s="8"/>
      <c r="S233" s="17"/>
      <c r="T233" s="17"/>
    </row>
    <row r="234" spans="1:20" ht="13.5" customHeight="1" x14ac:dyDescent="0.2">
      <c r="A234" s="8"/>
      <c r="S234" s="17"/>
      <c r="T234" s="17"/>
    </row>
    <row r="235" spans="1:20" ht="13.5" customHeight="1" x14ac:dyDescent="0.2">
      <c r="A235" s="8"/>
      <c r="S235" s="17"/>
      <c r="T235" s="17"/>
    </row>
    <row r="236" spans="1:20" ht="13.5" customHeight="1" x14ac:dyDescent="0.2">
      <c r="A236" s="8"/>
      <c r="S236" s="17"/>
      <c r="T236" s="17"/>
    </row>
    <row r="237" spans="1:20" ht="13.5" customHeight="1" x14ac:dyDescent="0.2">
      <c r="A237" s="8"/>
      <c r="S237" s="17"/>
      <c r="T237" s="17"/>
    </row>
    <row r="238" spans="1:20" ht="13.5" customHeight="1" x14ac:dyDescent="0.2">
      <c r="A238" s="8"/>
      <c r="S238" s="17"/>
      <c r="T238" s="17"/>
    </row>
    <row r="239" spans="1:20" ht="13.5" customHeight="1" x14ac:dyDescent="0.2">
      <c r="A239" s="8"/>
      <c r="S239" s="17"/>
      <c r="T239" s="17"/>
    </row>
    <row r="240" spans="1:20" ht="13.5" customHeight="1" x14ac:dyDescent="0.2">
      <c r="A240" s="8"/>
      <c r="S240" s="17"/>
      <c r="T240" s="17"/>
    </row>
    <row r="241" spans="1:20" ht="13.5" customHeight="1" x14ac:dyDescent="0.2">
      <c r="A241" s="8"/>
      <c r="S241" s="17"/>
      <c r="T241" s="17"/>
    </row>
    <row r="242" spans="1:20" ht="13.5" customHeight="1" x14ac:dyDescent="0.2">
      <c r="A242" s="8"/>
      <c r="S242" s="17"/>
      <c r="T242" s="17"/>
    </row>
    <row r="243" spans="1:20" ht="13.5" customHeight="1" x14ac:dyDescent="0.2">
      <c r="A243" s="8"/>
      <c r="S243" s="17"/>
      <c r="T243" s="17"/>
    </row>
    <row r="244" spans="1:20" ht="13.5" customHeight="1" x14ac:dyDescent="0.2">
      <c r="A244" s="8"/>
      <c r="S244" s="17"/>
      <c r="T244" s="17"/>
    </row>
    <row r="245" spans="1:20" ht="13.5" customHeight="1" x14ac:dyDescent="0.2">
      <c r="A245" s="8"/>
      <c r="S245" s="17"/>
      <c r="T245" s="17"/>
    </row>
    <row r="246" spans="1:20" ht="13.5" customHeight="1" x14ac:dyDescent="0.2">
      <c r="A246" s="8"/>
      <c r="S246" s="17"/>
      <c r="T246" s="17"/>
    </row>
    <row r="247" spans="1:20" ht="13.5" customHeight="1" x14ac:dyDescent="0.2">
      <c r="A247" s="8"/>
      <c r="S247" s="17"/>
      <c r="T247" s="17"/>
    </row>
    <row r="248" spans="1:20" ht="13.5" customHeight="1" x14ac:dyDescent="0.2">
      <c r="A248" s="8"/>
      <c r="S248" s="17"/>
      <c r="T248" s="17"/>
    </row>
    <row r="249" spans="1:20" ht="13.5" customHeight="1" x14ac:dyDescent="0.2">
      <c r="A249" s="8"/>
      <c r="S249" s="17"/>
      <c r="T249" s="17"/>
    </row>
    <row r="250" spans="1:20" ht="13.5" customHeight="1" x14ac:dyDescent="0.2">
      <c r="A250" s="8"/>
      <c r="S250" s="17"/>
      <c r="T250" s="17"/>
    </row>
    <row r="251" spans="1:20" ht="13.5" customHeight="1" x14ac:dyDescent="0.2">
      <c r="A251" s="8"/>
      <c r="S251" s="17"/>
      <c r="T251" s="17"/>
    </row>
    <row r="252" spans="1:20" ht="13.5" customHeight="1" x14ac:dyDescent="0.2">
      <c r="A252" s="8"/>
      <c r="S252" s="17"/>
      <c r="T252" s="17"/>
    </row>
    <row r="253" spans="1:20" ht="13.5" customHeight="1" x14ac:dyDescent="0.2">
      <c r="A253" s="8"/>
      <c r="S253" s="17"/>
      <c r="T253" s="17"/>
    </row>
    <row r="254" spans="1:20" ht="13.5" customHeight="1" x14ac:dyDescent="0.2">
      <c r="A254" s="8"/>
      <c r="S254" s="17"/>
      <c r="T254" s="17"/>
    </row>
    <row r="255" spans="1:20" ht="13.5" customHeight="1" x14ac:dyDescent="0.2">
      <c r="A255" s="8"/>
      <c r="S255" s="17"/>
      <c r="T255" s="17"/>
    </row>
    <row r="256" spans="1:20" ht="13.5" customHeight="1" x14ac:dyDescent="0.2">
      <c r="A256" s="8"/>
      <c r="S256" s="17"/>
      <c r="T256" s="17"/>
    </row>
    <row r="257" spans="1:20" ht="13.5" customHeight="1" x14ac:dyDescent="0.2">
      <c r="A257" s="8"/>
      <c r="S257" s="17"/>
      <c r="T257" s="17"/>
    </row>
    <row r="258" spans="1:20" ht="13.5" customHeight="1" x14ac:dyDescent="0.2">
      <c r="A258" s="8"/>
      <c r="S258" s="17"/>
      <c r="T258" s="17"/>
    </row>
    <row r="259" spans="1:20" ht="13.5" customHeight="1" x14ac:dyDescent="0.2">
      <c r="A259" s="8"/>
      <c r="S259" s="17"/>
      <c r="T259" s="17"/>
    </row>
    <row r="260" spans="1:20" ht="13.5" customHeight="1" x14ac:dyDescent="0.2">
      <c r="A260" s="8"/>
      <c r="S260" s="17"/>
      <c r="T260" s="17"/>
    </row>
    <row r="261" spans="1:20" ht="13.5" customHeight="1" x14ac:dyDescent="0.2">
      <c r="A261" s="8"/>
      <c r="S261" s="17"/>
      <c r="T261" s="17"/>
    </row>
    <row r="262" spans="1:20" ht="13.5" customHeight="1" x14ac:dyDescent="0.2">
      <c r="A262" s="8"/>
      <c r="S262" s="17"/>
      <c r="T262" s="17"/>
    </row>
    <row r="263" spans="1:20" ht="13.5" customHeight="1" x14ac:dyDescent="0.2">
      <c r="A263" s="8"/>
      <c r="S263" s="17"/>
      <c r="T263" s="17"/>
    </row>
    <row r="264" spans="1:20" ht="13.5" customHeight="1" x14ac:dyDescent="0.2">
      <c r="A264" s="8"/>
      <c r="S264" s="17"/>
      <c r="T264" s="17"/>
    </row>
    <row r="265" spans="1:20" ht="13.5" customHeight="1" x14ac:dyDescent="0.2">
      <c r="A265" s="8"/>
      <c r="S265" s="17"/>
      <c r="T265" s="17"/>
    </row>
    <row r="266" spans="1:20" ht="13.5" customHeight="1" x14ac:dyDescent="0.2">
      <c r="A266" s="8"/>
      <c r="S266" s="17"/>
      <c r="T266" s="17"/>
    </row>
    <row r="267" spans="1:20" ht="13.5" customHeight="1" x14ac:dyDescent="0.2">
      <c r="A267" s="8"/>
      <c r="S267" s="17"/>
      <c r="T267" s="17"/>
    </row>
    <row r="268" spans="1:20" ht="13.5" customHeight="1" x14ac:dyDescent="0.2">
      <c r="A268" s="8"/>
      <c r="S268" s="17"/>
      <c r="T268" s="17"/>
    </row>
    <row r="269" spans="1:20" ht="13.5" customHeight="1" x14ac:dyDescent="0.2">
      <c r="A269" s="8"/>
      <c r="S269" s="17"/>
      <c r="T269" s="17"/>
    </row>
    <row r="270" spans="1:20" ht="13.5" customHeight="1" x14ac:dyDescent="0.2">
      <c r="A270" s="8"/>
      <c r="S270" s="17"/>
      <c r="T270" s="17"/>
    </row>
    <row r="271" spans="1:20" ht="13.5" customHeight="1" x14ac:dyDescent="0.2">
      <c r="A271" s="8"/>
      <c r="S271" s="17"/>
      <c r="T271" s="17"/>
    </row>
    <row r="272" spans="1:20" ht="13.5" customHeight="1" x14ac:dyDescent="0.2">
      <c r="A272" s="8"/>
      <c r="S272" s="17"/>
      <c r="T272" s="17"/>
    </row>
    <row r="273" spans="1:20" ht="13.5" customHeight="1" x14ac:dyDescent="0.2">
      <c r="A273" s="8"/>
      <c r="S273" s="17"/>
      <c r="T273" s="17"/>
    </row>
    <row r="274" spans="1:20" ht="13.5" customHeight="1" x14ac:dyDescent="0.2">
      <c r="A274" s="8"/>
      <c r="S274" s="17"/>
      <c r="T274" s="17"/>
    </row>
    <row r="275" spans="1:20" ht="13.5" customHeight="1" x14ac:dyDescent="0.2">
      <c r="A275" s="8"/>
      <c r="S275" s="17"/>
      <c r="T275" s="17"/>
    </row>
    <row r="276" spans="1:20" ht="13.5" customHeight="1" x14ac:dyDescent="0.2">
      <c r="A276" s="8"/>
      <c r="S276" s="17"/>
      <c r="T276" s="17"/>
    </row>
    <row r="277" spans="1:20" ht="13.5" customHeight="1" x14ac:dyDescent="0.2">
      <c r="A277" s="8"/>
      <c r="S277" s="17"/>
      <c r="T277" s="17"/>
    </row>
    <row r="278" spans="1:20" ht="13.5" customHeight="1" x14ac:dyDescent="0.2">
      <c r="A278" s="8"/>
      <c r="S278" s="17"/>
      <c r="T278" s="17"/>
    </row>
    <row r="279" spans="1:20" ht="13.5" customHeight="1" x14ac:dyDescent="0.2">
      <c r="A279" s="8"/>
      <c r="S279" s="17"/>
      <c r="T279" s="17"/>
    </row>
    <row r="280" spans="1:20" ht="13.5" customHeight="1" x14ac:dyDescent="0.2">
      <c r="A280" s="8"/>
      <c r="S280" s="17"/>
      <c r="T280" s="17"/>
    </row>
    <row r="281" spans="1:20" ht="13.5" customHeight="1" x14ac:dyDescent="0.2">
      <c r="A281" s="8"/>
      <c r="S281" s="17"/>
      <c r="T281" s="17"/>
    </row>
    <row r="282" spans="1:20" ht="13.5" customHeight="1" x14ac:dyDescent="0.2">
      <c r="A282" s="8"/>
      <c r="S282" s="17"/>
      <c r="T282" s="17"/>
    </row>
    <row r="283" spans="1:20" ht="13.5" customHeight="1" x14ac:dyDescent="0.2">
      <c r="A283" s="8"/>
      <c r="S283" s="17"/>
      <c r="T283" s="17"/>
    </row>
    <row r="284" spans="1:20" ht="13.5" customHeight="1" x14ac:dyDescent="0.2">
      <c r="A284" s="8"/>
      <c r="S284" s="17"/>
      <c r="T284" s="17"/>
    </row>
    <row r="285" spans="1:20" ht="13.5" customHeight="1" x14ac:dyDescent="0.2">
      <c r="A285" s="8"/>
      <c r="S285" s="17"/>
      <c r="T285" s="17"/>
    </row>
    <row r="286" spans="1:20" ht="13.5" customHeight="1" x14ac:dyDescent="0.2">
      <c r="A286" s="8"/>
      <c r="S286" s="17"/>
      <c r="T286" s="17"/>
    </row>
    <row r="287" spans="1:20" ht="13.5" customHeight="1" x14ac:dyDescent="0.2">
      <c r="A287" s="8"/>
      <c r="S287" s="17"/>
      <c r="T287" s="17"/>
    </row>
    <row r="288" spans="1:20" ht="13.5" customHeight="1" x14ac:dyDescent="0.2">
      <c r="A288" s="8"/>
      <c r="S288" s="17"/>
      <c r="T288" s="17"/>
    </row>
    <row r="289" spans="1:20" ht="13.5" customHeight="1" x14ac:dyDescent="0.2">
      <c r="A289" s="8"/>
      <c r="S289" s="17"/>
      <c r="T289" s="17"/>
    </row>
    <row r="290" spans="1:20" ht="13.5" customHeight="1" x14ac:dyDescent="0.2">
      <c r="A290" s="8"/>
      <c r="S290" s="17"/>
      <c r="T290" s="17"/>
    </row>
    <row r="291" spans="1:20" ht="13.5" customHeight="1" x14ac:dyDescent="0.2">
      <c r="A291" s="8"/>
      <c r="S291" s="17"/>
      <c r="T291" s="17"/>
    </row>
    <row r="292" spans="1:20" ht="13.5" customHeight="1" x14ac:dyDescent="0.2">
      <c r="A292" s="8"/>
      <c r="S292" s="17"/>
      <c r="T292" s="17"/>
    </row>
    <row r="293" spans="1:20" ht="13.5" customHeight="1" x14ac:dyDescent="0.2">
      <c r="A293" s="8"/>
      <c r="S293" s="17"/>
      <c r="T293" s="17"/>
    </row>
    <row r="294" spans="1:20" ht="13.5" customHeight="1" x14ac:dyDescent="0.2">
      <c r="A294" s="8"/>
      <c r="S294" s="17"/>
      <c r="T294" s="17"/>
    </row>
    <row r="295" spans="1:20" ht="13.5" customHeight="1" x14ac:dyDescent="0.2">
      <c r="A295" s="8"/>
      <c r="S295" s="17"/>
      <c r="T295" s="17"/>
    </row>
    <row r="296" spans="1:20" ht="13.5" customHeight="1" x14ac:dyDescent="0.2">
      <c r="A296" s="8"/>
      <c r="S296" s="17"/>
      <c r="T296" s="17"/>
    </row>
    <row r="297" spans="1:20" ht="13.5" customHeight="1" x14ac:dyDescent="0.2">
      <c r="A297" s="8"/>
      <c r="S297" s="17"/>
      <c r="T297" s="17"/>
    </row>
    <row r="298" spans="1:20" ht="13.5" customHeight="1" x14ac:dyDescent="0.2">
      <c r="A298" s="8"/>
      <c r="S298" s="17"/>
      <c r="T298" s="17"/>
    </row>
    <row r="299" spans="1:20" ht="13.5" customHeight="1" x14ac:dyDescent="0.2">
      <c r="A299" s="8"/>
      <c r="S299" s="17"/>
      <c r="T299" s="17"/>
    </row>
    <row r="300" spans="1:20" ht="13.5" customHeight="1" x14ac:dyDescent="0.2">
      <c r="A300" s="8"/>
      <c r="S300" s="17"/>
      <c r="T300" s="17"/>
    </row>
    <row r="301" spans="1:20" ht="13.5" customHeight="1" x14ac:dyDescent="0.2">
      <c r="A301" s="8"/>
      <c r="S301" s="17"/>
      <c r="T301" s="17"/>
    </row>
    <row r="302" spans="1:20" ht="13.5" customHeight="1" x14ac:dyDescent="0.2">
      <c r="A302" s="8"/>
      <c r="S302" s="17"/>
      <c r="T302" s="17"/>
    </row>
    <row r="303" spans="1:20" ht="13.5" customHeight="1" x14ac:dyDescent="0.2">
      <c r="A303" s="8"/>
      <c r="S303" s="17"/>
      <c r="T303" s="17"/>
    </row>
    <row r="304" spans="1:20" ht="13.5" customHeight="1" x14ac:dyDescent="0.2">
      <c r="A304" s="8"/>
      <c r="S304" s="17"/>
      <c r="T304" s="17"/>
    </row>
    <row r="305" spans="1:20" ht="13.5" customHeight="1" x14ac:dyDescent="0.2">
      <c r="A305" s="8"/>
      <c r="S305" s="17"/>
      <c r="T305" s="17"/>
    </row>
    <row r="306" spans="1:20" ht="13.5" customHeight="1" x14ac:dyDescent="0.2">
      <c r="A306" s="8"/>
      <c r="S306" s="17"/>
      <c r="T306" s="17"/>
    </row>
    <row r="307" spans="1:20" ht="13.5" customHeight="1" x14ac:dyDescent="0.2">
      <c r="A307" s="8"/>
      <c r="S307" s="17"/>
      <c r="T307" s="17"/>
    </row>
    <row r="308" spans="1:20" ht="13.5" customHeight="1" x14ac:dyDescent="0.2">
      <c r="A308" s="8"/>
      <c r="S308" s="17"/>
      <c r="T308" s="17"/>
    </row>
    <row r="309" spans="1:20" ht="13.5" customHeight="1" x14ac:dyDescent="0.2">
      <c r="A309" s="8"/>
      <c r="S309" s="17"/>
      <c r="T309" s="17"/>
    </row>
    <row r="310" spans="1:20" ht="13.5" customHeight="1" x14ac:dyDescent="0.2">
      <c r="A310" s="8"/>
      <c r="S310" s="17"/>
      <c r="T310" s="17"/>
    </row>
    <row r="311" spans="1:20" ht="13.5" customHeight="1" x14ac:dyDescent="0.2">
      <c r="A311" s="8"/>
      <c r="S311" s="17"/>
      <c r="T311" s="17"/>
    </row>
    <row r="312" spans="1:20" ht="13.5" customHeight="1" x14ac:dyDescent="0.2">
      <c r="A312" s="8"/>
      <c r="S312" s="17"/>
      <c r="T312" s="17"/>
    </row>
    <row r="313" spans="1:20" ht="13.5" customHeight="1" x14ac:dyDescent="0.2">
      <c r="A313" s="8"/>
      <c r="S313" s="17"/>
      <c r="T313" s="17"/>
    </row>
    <row r="314" spans="1:20" ht="13.5" customHeight="1" x14ac:dyDescent="0.2">
      <c r="A314" s="8"/>
      <c r="S314" s="17"/>
      <c r="T314" s="17"/>
    </row>
    <row r="315" spans="1:20" ht="13.5" customHeight="1" x14ac:dyDescent="0.2">
      <c r="A315" s="8"/>
      <c r="S315" s="17"/>
      <c r="T315" s="17"/>
    </row>
    <row r="316" spans="1:20" ht="13.5" customHeight="1" x14ac:dyDescent="0.2">
      <c r="A316" s="8"/>
      <c r="S316" s="17"/>
      <c r="T316" s="17"/>
    </row>
    <row r="317" spans="1:20" ht="13.5" customHeight="1" x14ac:dyDescent="0.2">
      <c r="A317" s="8"/>
      <c r="S317" s="17"/>
      <c r="T317" s="17"/>
    </row>
    <row r="318" spans="1:20" ht="13.5" customHeight="1" x14ac:dyDescent="0.2">
      <c r="A318" s="8"/>
      <c r="S318" s="17"/>
      <c r="T318" s="17"/>
    </row>
    <row r="319" spans="1:20" ht="13.5" customHeight="1" x14ac:dyDescent="0.2">
      <c r="A319" s="8"/>
      <c r="S319" s="17"/>
      <c r="T319" s="17"/>
    </row>
    <row r="320" spans="1:20" ht="13.5" customHeight="1" x14ac:dyDescent="0.2">
      <c r="A320" s="8"/>
      <c r="S320" s="17"/>
      <c r="T320" s="17"/>
    </row>
    <row r="321" spans="1:20" ht="13.5" customHeight="1" x14ac:dyDescent="0.2">
      <c r="A321" s="8"/>
      <c r="S321" s="17"/>
      <c r="T321" s="17"/>
    </row>
    <row r="322" spans="1:20" ht="13.5" customHeight="1" x14ac:dyDescent="0.2">
      <c r="A322" s="8"/>
      <c r="S322" s="17"/>
      <c r="T322" s="17"/>
    </row>
    <row r="323" spans="1:20" ht="13.5" customHeight="1" x14ac:dyDescent="0.2">
      <c r="A323" s="8"/>
      <c r="S323" s="17"/>
      <c r="T323" s="17"/>
    </row>
    <row r="324" spans="1:20" ht="13.5" customHeight="1" x14ac:dyDescent="0.2">
      <c r="A324" s="8"/>
      <c r="S324" s="17"/>
      <c r="T324" s="17"/>
    </row>
    <row r="325" spans="1:20" ht="13.5" customHeight="1" x14ac:dyDescent="0.2">
      <c r="A325" s="8"/>
      <c r="S325" s="17"/>
      <c r="T325" s="17"/>
    </row>
    <row r="326" spans="1:20" ht="13.5" customHeight="1" x14ac:dyDescent="0.2">
      <c r="A326" s="8"/>
      <c r="S326" s="17"/>
      <c r="T326" s="17"/>
    </row>
    <row r="327" spans="1:20" ht="13.5" customHeight="1" x14ac:dyDescent="0.2">
      <c r="A327" s="8"/>
      <c r="S327" s="17"/>
      <c r="T327" s="17"/>
    </row>
    <row r="328" spans="1:20" ht="13.5" customHeight="1" x14ac:dyDescent="0.2">
      <c r="A328" s="8"/>
      <c r="S328" s="17"/>
      <c r="T328" s="17"/>
    </row>
    <row r="329" spans="1:20" ht="13.5" customHeight="1" x14ac:dyDescent="0.2">
      <c r="A329" s="8"/>
      <c r="S329" s="17"/>
      <c r="T329" s="17"/>
    </row>
    <row r="330" spans="1:20" ht="13.5" customHeight="1" x14ac:dyDescent="0.2">
      <c r="A330" s="8"/>
      <c r="S330" s="17"/>
      <c r="T330" s="17"/>
    </row>
    <row r="331" spans="1:20" ht="13.5" customHeight="1" x14ac:dyDescent="0.2">
      <c r="A331" s="8"/>
      <c r="S331" s="17"/>
      <c r="T331" s="17"/>
    </row>
    <row r="332" spans="1:20" ht="13.5" customHeight="1" x14ac:dyDescent="0.2">
      <c r="A332" s="8"/>
      <c r="S332" s="17"/>
      <c r="T332" s="17"/>
    </row>
    <row r="333" spans="1:20" ht="13.5" customHeight="1" x14ac:dyDescent="0.2">
      <c r="A333" s="8"/>
      <c r="S333" s="17"/>
      <c r="T333" s="17"/>
    </row>
    <row r="334" spans="1:20" ht="13.5" customHeight="1" x14ac:dyDescent="0.2">
      <c r="A334" s="8"/>
      <c r="S334" s="17"/>
      <c r="T334" s="17"/>
    </row>
    <row r="335" spans="1:20" ht="13.5" customHeight="1" x14ac:dyDescent="0.2">
      <c r="A335" s="8"/>
      <c r="S335" s="17"/>
      <c r="T335" s="17"/>
    </row>
    <row r="336" spans="1:20" ht="13.5" customHeight="1" x14ac:dyDescent="0.2">
      <c r="A336" s="8"/>
      <c r="S336" s="17"/>
      <c r="T336" s="17"/>
    </row>
    <row r="337" spans="1:20" ht="13.5" customHeight="1" x14ac:dyDescent="0.2">
      <c r="A337" s="8"/>
      <c r="S337" s="17"/>
      <c r="T337" s="17"/>
    </row>
    <row r="338" spans="1:20" ht="13.5" customHeight="1" x14ac:dyDescent="0.2">
      <c r="A338" s="8"/>
      <c r="S338" s="17"/>
      <c r="T338" s="17"/>
    </row>
    <row r="339" spans="1:20" ht="13.5" customHeight="1" x14ac:dyDescent="0.2">
      <c r="A339" s="8"/>
      <c r="S339" s="17"/>
      <c r="T339" s="17"/>
    </row>
    <row r="340" spans="1:20" ht="13.5" customHeight="1" x14ac:dyDescent="0.2">
      <c r="A340" s="8"/>
      <c r="S340" s="17"/>
      <c r="T340" s="17"/>
    </row>
    <row r="341" spans="1:20" ht="13.5" customHeight="1" x14ac:dyDescent="0.2">
      <c r="A341" s="8"/>
      <c r="S341" s="17"/>
      <c r="T341" s="17"/>
    </row>
    <row r="342" spans="1:20" ht="13.5" customHeight="1" x14ac:dyDescent="0.2">
      <c r="A342" s="8"/>
      <c r="S342" s="17"/>
      <c r="T342" s="17"/>
    </row>
    <row r="343" spans="1:20" ht="13.5" customHeight="1" x14ac:dyDescent="0.2">
      <c r="A343" s="8"/>
      <c r="S343" s="17"/>
      <c r="T343" s="17"/>
    </row>
    <row r="344" spans="1:20" ht="13.5" customHeight="1" x14ac:dyDescent="0.2">
      <c r="A344" s="8"/>
      <c r="S344" s="17"/>
      <c r="T344" s="17"/>
    </row>
    <row r="345" spans="1:20" ht="13.5" customHeight="1" x14ac:dyDescent="0.2">
      <c r="A345" s="8"/>
      <c r="S345" s="17"/>
      <c r="T345" s="17"/>
    </row>
    <row r="346" spans="1:20" ht="13.5" customHeight="1" x14ac:dyDescent="0.2">
      <c r="A346" s="8"/>
      <c r="S346" s="17"/>
      <c r="T346" s="17"/>
    </row>
    <row r="347" spans="1:20" ht="13.5" customHeight="1" x14ac:dyDescent="0.2">
      <c r="A347" s="8"/>
      <c r="S347" s="17"/>
      <c r="T347" s="17"/>
    </row>
    <row r="348" spans="1:20" ht="13.5" customHeight="1" x14ac:dyDescent="0.2">
      <c r="A348" s="8"/>
      <c r="S348" s="17"/>
      <c r="T348" s="17"/>
    </row>
    <row r="349" spans="1:20" ht="13.5" customHeight="1" x14ac:dyDescent="0.2">
      <c r="A349" s="8"/>
      <c r="S349" s="17"/>
      <c r="T349" s="17"/>
    </row>
    <row r="350" spans="1:20" ht="13.5" customHeight="1" x14ac:dyDescent="0.2">
      <c r="A350" s="8"/>
      <c r="S350" s="17"/>
      <c r="T350" s="17"/>
    </row>
    <row r="351" spans="1:20" ht="13.5" customHeight="1" x14ac:dyDescent="0.2">
      <c r="A351" s="8"/>
      <c r="S351" s="17"/>
      <c r="T351" s="17"/>
    </row>
    <row r="352" spans="1:20" ht="13.5" customHeight="1" x14ac:dyDescent="0.2">
      <c r="A352" s="8"/>
      <c r="S352" s="17"/>
      <c r="T352" s="17"/>
    </row>
    <row r="353" spans="1:20" ht="13.5" customHeight="1" x14ac:dyDescent="0.2">
      <c r="A353" s="8"/>
      <c r="S353" s="17"/>
      <c r="T353" s="17"/>
    </row>
    <row r="354" spans="1:20" ht="13.5" customHeight="1" x14ac:dyDescent="0.2">
      <c r="A354" s="8"/>
      <c r="S354" s="17"/>
      <c r="T354" s="17"/>
    </row>
    <row r="355" spans="1:20" ht="13.5" customHeight="1" x14ac:dyDescent="0.2">
      <c r="A355" s="8"/>
      <c r="S355" s="17"/>
      <c r="T355" s="17"/>
    </row>
    <row r="356" spans="1:20" ht="13.5" customHeight="1" x14ac:dyDescent="0.2">
      <c r="A356" s="8"/>
      <c r="S356" s="17"/>
      <c r="T356" s="17"/>
    </row>
    <row r="357" spans="1:20" ht="13.5" customHeight="1" x14ac:dyDescent="0.2">
      <c r="A357" s="8"/>
      <c r="S357" s="17"/>
      <c r="T357" s="17"/>
    </row>
    <row r="358" spans="1:20" ht="13.5" customHeight="1" x14ac:dyDescent="0.2">
      <c r="A358" s="8"/>
      <c r="S358" s="17"/>
      <c r="T358" s="17"/>
    </row>
    <row r="359" spans="1:20" ht="13.5" customHeight="1" x14ac:dyDescent="0.2">
      <c r="A359" s="8"/>
      <c r="S359" s="17"/>
      <c r="T359" s="17"/>
    </row>
    <row r="360" spans="1:20" ht="13.5" customHeight="1" x14ac:dyDescent="0.2">
      <c r="A360" s="8"/>
      <c r="S360" s="17"/>
      <c r="T360" s="17"/>
    </row>
    <row r="361" spans="1:20" ht="13.5" customHeight="1" x14ac:dyDescent="0.2">
      <c r="A361" s="8"/>
      <c r="S361" s="17"/>
      <c r="T361" s="17"/>
    </row>
    <row r="362" spans="1:20" ht="13.5" customHeight="1" x14ac:dyDescent="0.2">
      <c r="A362" s="8"/>
      <c r="S362" s="17"/>
      <c r="T362" s="17"/>
    </row>
    <row r="363" spans="1:20" ht="13.5" customHeight="1" x14ac:dyDescent="0.2">
      <c r="A363" s="8"/>
      <c r="S363" s="17"/>
      <c r="T363" s="17"/>
    </row>
    <row r="364" spans="1:20" ht="13.5" customHeight="1" x14ac:dyDescent="0.2">
      <c r="A364" s="8"/>
      <c r="S364" s="17"/>
      <c r="T364" s="17"/>
    </row>
    <row r="365" spans="1:20" ht="13.5" customHeight="1" x14ac:dyDescent="0.2">
      <c r="A365" s="8"/>
      <c r="S365" s="17"/>
      <c r="T365" s="17"/>
    </row>
    <row r="366" spans="1:20" ht="13.5" customHeight="1" x14ac:dyDescent="0.2">
      <c r="A366" s="8"/>
      <c r="S366" s="17"/>
      <c r="T366" s="17"/>
    </row>
    <row r="367" spans="1:20" ht="13.5" customHeight="1" x14ac:dyDescent="0.2">
      <c r="A367" s="8"/>
      <c r="S367" s="17"/>
      <c r="T367" s="17"/>
    </row>
    <row r="368" spans="1:20" ht="13.5" customHeight="1" x14ac:dyDescent="0.2">
      <c r="A368" s="8"/>
      <c r="S368" s="17"/>
      <c r="T368" s="17"/>
    </row>
    <row r="369" spans="1:20" ht="13.5" customHeight="1" x14ac:dyDescent="0.2">
      <c r="A369" s="8"/>
      <c r="S369" s="17"/>
      <c r="T369" s="17"/>
    </row>
    <row r="370" spans="1:20" ht="13.5" customHeight="1" x14ac:dyDescent="0.2">
      <c r="A370" s="8"/>
      <c r="S370" s="17"/>
      <c r="T370" s="17"/>
    </row>
    <row r="371" spans="1:20" ht="13.5" customHeight="1" x14ac:dyDescent="0.2">
      <c r="A371" s="8"/>
      <c r="S371" s="17"/>
      <c r="T371" s="17"/>
    </row>
    <row r="372" spans="1:20" ht="13.5" customHeight="1" x14ac:dyDescent="0.2">
      <c r="A372" s="8"/>
      <c r="S372" s="17"/>
      <c r="T372" s="17"/>
    </row>
    <row r="373" spans="1:20" ht="13.5" customHeight="1" x14ac:dyDescent="0.2">
      <c r="A373" s="8"/>
      <c r="S373" s="17"/>
      <c r="T373" s="17"/>
    </row>
    <row r="374" spans="1:20" ht="13.5" customHeight="1" x14ac:dyDescent="0.2">
      <c r="A374" s="8"/>
      <c r="S374" s="17"/>
      <c r="T374" s="17"/>
    </row>
    <row r="375" spans="1:20" ht="13.5" customHeight="1" x14ac:dyDescent="0.2">
      <c r="A375" s="8"/>
      <c r="S375" s="17"/>
      <c r="T375" s="17"/>
    </row>
    <row r="376" spans="1:20" ht="13.5" customHeight="1" x14ac:dyDescent="0.2">
      <c r="A376" s="8"/>
      <c r="S376" s="17"/>
      <c r="T376" s="17"/>
    </row>
    <row r="377" spans="1:20" ht="13.5" customHeight="1" x14ac:dyDescent="0.2">
      <c r="A377" s="8"/>
      <c r="S377" s="17"/>
      <c r="T377" s="17"/>
    </row>
    <row r="378" spans="1:20" ht="13.5" customHeight="1" x14ac:dyDescent="0.2">
      <c r="A378" s="8"/>
      <c r="S378" s="17"/>
      <c r="T378" s="17"/>
    </row>
    <row r="379" spans="1:20" ht="13.5" customHeight="1" x14ac:dyDescent="0.2">
      <c r="A379" s="8"/>
      <c r="S379" s="17"/>
      <c r="T379" s="17"/>
    </row>
    <row r="380" spans="1:20" ht="13.5" customHeight="1" x14ac:dyDescent="0.2">
      <c r="A380" s="8"/>
      <c r="S380" s="17"/>
      <c r="T380" s="17"/>
    </row>
    <row r="381" spans="1:20" ht="13.5" customHeight="1" x14ac:dyDescent="0.2">
      <c r="A381" s="8"/>
      <c r="S381" s="17"/>
      <c r="T381" s="17"/>
    </row>
    <row r="382" spans="1:20" ht="13.5" customHeight="1" x14ac:dyDescent="0.2">
      <c r="A382" s="8"/>
      <c r="S382" s="17"/>
      <c r="T382" s="17"/>
    </row>
    <row r="383" spans="1:20" ht="13.5" customHeight="1" x14ac:dyDescent="0.2">
      <c r="A383" s="8"/>
      <c r="S383" s="17"/>
      <c r="T383" s="17"/>
    </row>
    <row r="384" spans="1:20" ht="13.5" customHeight="1" x14ac:dyDescent="0.2">
      <c r="A384" s="8"/>
      <c r="S384" s="17"/>
      <c r="T384" s="17"/>
    </row>
    <row r="385" spans="1:20" ht="13.5" customHeight="1" x14ac:dyDescent="0.2">
      <c r="A385" s="8"/>
      <c r="S385" s="17"/>
      <c r="T385" s="17"/>
    </row>
    <row r="386" spans="1:20" ht="13.5" customHeight="1" x14ac:dyDescent="0.2">
      <c r="A386" s="8"/>
      <c r="S386" s="17"/>
      <c r="T386" s="17"/>
    </row>
    <row r="387" spans="1:20" ht="13.5" customHeight="1" x14ac:dyDescent="0.2">
      <c r="A387" s="8"/>
      <c r="S387" s="17"/>
      <c r="T387" s="17"/>
    </row>
    <row r="388" spans="1:20" ht="13.5" customHeight="1" x14ac:dyDescent="0.2">
      <c r="A388" s="8"/>
      <c r="S388" s="17"/>
      <c r="T388" s="17"/>
    </row>
    <row r="389" spans="1:20" ht="13.5" customHeight="1" x14ac:dyDescent="0.2">
      <c r="A389" s="8"/>
      <c r="S389" s="17"/>
      <c r="T389" s="17"/>
    </row>
    <row r="390" spans="1:20" ht="13.5" customHeight="1" x14ac:dyDescent="0.2">
      <c r="A390" s="8"/>
      <c r="S390" s="17"/>
      <c r="T390" s="17"/>
    </row>
    <row r="391" spans="1:20" ht="13.5" customHeight="1" x14ac:dyDescent="0.2">
      <c r="A391" s="8"/>
      <c r="S391" s="17"/>
      <c r="T391" s="17"/>
    </row>
    <row r="392" spans="1:20" ht="13.5" customHeight="1" x14ac:dyDescent="0.2">
      <c r="A392" s="8"/>
      <c r="S392" s="17"/>
      <c r="T392" s="17"/>
    </row>
    <row r="393" spans="1:20" ht="13.5" customHeight="1" x14ac:dyDescent="0.2">
      <c r="A393" s="8"/>
      <c r="S393" s="17"/>
      <c r="T393" s="17"/>
    </row>
    <row r="394" spans="1:20" ht="13.5" customHeight="1" x14ac:dyDescent="0.2">
      <c r="A394" s="8"/>
      <c r="S394" s="17"/>
      <c r="T394" s="17"/>
    </row>
    <row r="395" spans="1:20" ht="13.5" customHeight="1" x14ac:dyDescent="0.2">
      <c r="A395" s="8"/>
      <c r="S395" s="17"/>
      <c r="T395" s="17"/>
    </row>
    <row r="396" spans="1:20" ht="13.5" customHeight="1" x14ac:dyDescent="0.2">
      <c r="A396" s="8"/>
      <c r="S396" s="17"/>
      <c r="T396" s="17"/>
    </row>
    <row r="397" spans="1:20" ht="13.5" customHeight="1" x14ac:dyDescent="0.2">
      <c r="A397" s="8"/>
      <c r="S397" s="17"/>
      <c r="T397" s="17"/>
    </row>
    <row r="398" spans="1:20" ht="13.5" customHeight="1" x14ac:dyDescent="0.2">
      <c r="A398" s="8"/>
      <c r="S398" s="17"/>
      <c r="T398" s="17"/>
    </row>
    <row r="399" spans="1:20" ht="13.5" customHeight="1" x14ac:dyDescent="0.2">
      <c r="A399" s="8"/>
      <c r="S399" s="17"/>
      <c r="T399" s="17"/>
    </row>
    <row r="400" spans="1:20" ht="13.5" customHeight="1" x14ac:dyDescent="0.2">
      <c r="A400" s="8"/>
      <c r="S400" s="17"/>
      <c r="T400" s="17"/>
    </row>
    <row r="401" spans="1:20" ht="13.5" customHeight="1" x14ac:dyDescent="0.2">
      <c r="A401" s="8"/>
      <c r="S401" s="17"/>
      <c r="T401" s="17"/>
    </row>
    <row r="402" spans="1:20" ht="13.5" customHeight="1" x14ac:dyDescent="0.2">
      <c r="A402" s="8"/>
      <c r="S402" s="17"/>
      <c r="T402" s="17"/>
    </row>
    <row r="403" spans="1:20" ht="13.5" customHeight="1" x14ac:dyDescent="0.2">
      <c r="A403" s="8"/>
      <c r="S403" s="17"/>
      <c r="T403" s="17"/>
    </row>
    <row r="404" spans="1:20" ht="13.5" customHeight="1" x14ac:dyDescent="0.2">
      <c r="A404" s="8"/>
      <c r="S404" s="17"/>
      <c r="T404" s="17"/>
    </row>
    <row r="405" spans="1:20" ht="13.5" customHeight="1" x14ac:dyDescent="0.2">
      <c r="A405" s="8"/>
      <c r="S405" s="17"/>
      <c r="T405" s="17"/>
    </row>
    <row r="406" spans="1:20" ht="13.5" customHeight="1" x14ac:dyDescent="0.2">
      <c r="A406" s="8"/>
      <c r="S406" s="17"/>
      <c r="T406" s="17"/>
    </row>
    <row r="407" spans="1:20" ht="13.5" customHeight="1" x14ac:dyDescent="0.2">
      <c r="A407" s="8"/>
      <c r="S407" s="17"/>
      <c r="T407" s="17"/>
    </row>
    <row r="408" spans="1:20" ht="13.5" customHeight="1" x14ac:dyDescent="0.2">
      <c r="A408" s="8"/>
      <c r="S408" s="17"/>
      <c r="T408" s="17"/>
    </row>
    <row r="409" spans="1:20" ht="13.5" customHeight="1" x14ac:dyDescent="0.2">
      <c r="A409" s="8"/>
      <c r="S409" s="17"/>
      <c r="T409" s="17"/>
    </row>
    <row r="410" spans="1:20" ht="13.5" customHeight="1" x14ac:dyDescent="0.2">
      <c r="A410" s="8"/>
      <c r="S410" s="17"/>
      <c r="T410" s="17"/>
    </row>
    <row r="411" spans="1:20" ht="13.5" customHeight="1" x14ac:dyDescent="0.2">
      <c r="A411" s="8"/>
      <c r="S411" s="17"/>
      <c r="T411" s="17"/>
    </row>
    <row r="412" spans="1:20" ht="13.5" customHeight="1" x14ac:dyDescent="0.2">
      <c r="A412" s="8"/>
      <c r="S412" s="17"/>
      <c r="T412" s="17"/>
    </row>
    <row r="413" spans="1:20" ht="13.5" customHeight="1" x14ac:dyDescent="0.2">
      <c r="A413" s="8"/>
      <c r="S413" s="17"/>
      <c r="T413" s="17"/>
    </row>
    <row r="414" spans="1:20" ht="13.5" customHeight="1" x14ac:dyDescent="0.2">
      <c r="A414" s="8"/>
      <c r="S414" s="17"/>
      <c r="T414" s="17"/>
    </row>
    <row r="415" spans="1:20" ht="13.5" customHeight="1" x14ac:dyDescent="0.2">
      <c r="A415" s="8"/>
      <c r="S415" s="17"/>
      <c r="T415" s="17"/>
    </row>
    <row r="416" spans="1:20" ht="13.5" customHeight="1" x14ac:dyDescent="0.2">
      <c r="A416" s="8"/>
      <c r="S416" s="17"/>
      <c r="T416" s="17"/>
    </row>
    <row r="417" spans="1:20" ht="13.5" customHeight="1" x14ac:dyDescent="0.2">
      <c r="A417" s="8"/>
      <c r="S417" s="17"/>
      <c r="T417" s="17"/>
    </row>
    <row r="418" spans="1:20" ht="13.5" customHeight="1" x14ac:dyDescent="0.2">
      <c r="A418" s="8"/>
      <c r="S418" s="17"/>
      <c r="T418" s="17"/>
    </row>
    <row r="419" spans="1:20" ht="13.5" customHeight="1" x14ac:dyDescent="0.2">
      <c r="A419" s="8"/>
      <c r="S419" s="17"/>
      <c r="T419" s="17"/>
    </row>
    <row r="420" spans="1:20" ht="13.5" customHeight="1" x14ac:dyDescent="0.2">
      <c r="A420" s="8"/>
      <c r="S420" s="17"/>
      <c r="T420" s="17"/>
    </row>
    <row r="421" spans="1:20" ht="13.5" customHeight="1" x14ac:dyDescent="0.2">
      <c r="A421" s="8"/>
      <c r="S421" s="17"/>
      <c r="T421" s="17"/>
    </row>
    <row r="422" spans="1:20" ht="13.5" customHeight="1" x14ac:dyDescent="0.2">
      <c r="A422" s="8"/>
      <c r="S422" s="17"/>
      <c r="T422" s="17"/>
    </row>
    <row r="423" spans="1:20" ht="13.5" customHeight="1" x14ac:dyDescent="0.2">
      <c r="A423" s="8"/>
      <c r="S423" s="17"/>
      <c r="T423" s="17"/>
    </row>
    <row r="424" spans="1:20" ht="13.5" customHeight="1" x14ac:dyDescent="0.2">
      <c r="A424" s="8"/>
      <c r="S424" s="17"/>
      <c r="T424" s="17"/>
    </row>
    <row r="425" spans="1:20" ht="13.5" customHeight="1" x14ac:dyDescent="0.2">
      <c r="A425" s="8"/>
      <c r="S425" s="17"/>
      <c r="T425" s="17"/>
    </row>
    <row r="426" spans="1:20" ht="13.5" customHeight="1" x14ac:dyDescent="0.2">
      <c r="A426" s="8"/>
      <c r="S426" s="17"/>
      <c r="T426" s="17"/>
    </row>
    <row r="427" spans="1:20" ht="13.5" customHeight="1" x14ac:dyDescent="0.2">
      <c r="A427" s="8"/>
      <c r="S427" s="17"/>
      <c r="T427" s="17"/>
    </row>
    <row r="428" spans="1:20" ht="13.5" customHeight="1" x14ac:dyDescent="0.2">
      <c r="A428" s="8"/>
      <c r="S428" s="17"/>
      <c r="T428" s="17"/>
    </row>
    <row r="429" spans="1:20" ht="13.5" customHeight="1" x14ac:dyDescent="0.2">
      <c r="A429" s="8"/>
      <c r="S429" s="17"/>
      <c r="T429" s="17"/>
    </row>
    <row r="430" spans="1:20" ht="13.5" customHeight="1" x14ac:dyDescent="0.2">
      <c r="A430" s="8"/>
      <c r="S430" s="17"/>
      <c r="T430" s="17"/>
    </row>
    <row r="431" spans="1:20" ht="13.5" customHeight="1" x14ac:dyDescent="0.2">
      <c r="A431" s="8"/>
      <c r="S431" s="17"/>
      <c r="T431" s="17"/>
    </row>
    <row r="432" spans="1:20" ht="13.5" customHeight="1" x14ac:dyDescent="0.2">
      <c r="A432" s="8"/>
      <c r="S432" s="17"/>
      <c r="T432" s="17"/>
    </row>
    <row r="433" spans="1:20" ht="13.5" customHeight="1" x14ac:dyDescent="0.2">
      <c r="A433" s="8"/>
      <c r="S433" s="17"/>
      <c r="T433" s="17"/>
    </row>
    <row r="434" spans="1:20" ht="13.5" customHeight="1" x14ac:dyDescent="0.2">
      <c r="A434" s="8"/>
      <c r="S434" s="17"/>
      <c r="T434" s="17"/>
    </row>
    <row r="435" spans="1:20" ht="13.5" customHeight="1" x14ac:dyDescent="0.2">
      <c r="A435" s="8"/>
      <c r="S435" s="17"/>
      <c r="T435" s="17"/>
    </row>
    <row r="436" spans="1:20" ht="13.5" customHeight="1" x14ac:dyDescent="0.2">
      <c r="A436" s="8"/>
      <c r="S436" s="17"/>
      <c r="T436" s="17"/>
    </row>
    <row r="437" spans="1:20" ht="13.5" customHeight="1" x14ac:dyDescent="0.2">
      <c r="A437" s="8"/>
      <c r="S437" s="17"/>
      <c r="T437" s="17"/>
    </row>
    <row r="438" spans="1:20" ht="13.5" customHeight="1" x14ac:dyDescent="0.2">
      <c r="A438" s="8"/>
      <c r="S438" s="17"/>
      <c r="T438" s="17"/>
    </row>
    <row r="439" spans="1:20" ht="13.5" customHeight="1" x14ac:dyDescent="0.2">
      <c r="A439" s="8"/>
      <c r="S439" s="17"/>
      <c r="T439" s="17"/>
    </row>
    <row r="440" spans="1:20" ht="13.5" customHeight="1" x14ac:dyDescent="0.2">
      <c r="A440" s="8"/>
      <c r="S440" s="17"/>
      <c r="T440" s="17"/>
    </row>
    <row r="441" spans="1:20" ht="13.5" customHeight="1" x14ac:dyDescent="0.2">
      <c r="A441" s="8"/>
      <c r="S441" s="17"/>
      <c r="T441" s="17"/>
    </row>
    <row r="442" spans="1:20" ht="13.5" customHeight="1" x14ac:dyDescent="0.2">
      <c r="A442" s="8"/>
      <c r="S442" s="17"/>
      <c r="T442" s="17"/>
    </row>
    <row r="443" spans="1:20" ht="13.5" customHeight="1" x14ac:dyDescent="0.2">
      <c r="A443" s="8"/>
      <c r="S443" s="17"/>
      <c r="T443" s="17"/>
    </row>
    <row r="444" spans="1:20" ht="13.5" customHeight="1" x14ac:dyDescent="0.2">
      <c r="A444" s="8"/>
      <c r="S444" s="17"/>
      <c r="T444" s="17"/>
    </row>
    <row r="445" spans="1:20" ht="13.5" customHeight="1" x14ac:dyDescent="0.2">
      <c r="A445" s="8"/>
      <c r="S445" s="17"/>
      <c r="T445" s="17"/>
    </row>
    <row r="446" spans="1:20" ht="13.5" customHeight="1" x14ac:dyDescent="0.2">
      <c r="A446" s="8"/>
      <c r="S446" s="17"/>
      <c r="T446" s="17"/>
    </row>
    <row r="447" spans="1:20" ht="13.5" customHeight="1" x14ac:dyDescent="0.2">
      <c r="A447" s="8"/>
      <c r="S447" s="17"/>
      <c r="T447" s="17"/>
    </row>
    <row r="448" spans="1:20" ht="13.5" customHeight="1" x14ac:dyDescent="0.2">
      <c r="A448" s="8"/>
      <c r="S448" s="17"/>
      <c r="T448" s="17"/>
    </row>
    <row r="449" spans="1:20" ht="13.5" customHeight="1" x14ac:dyDescent="0.2">
      <c r="A449" s="8"/>
      <c r="S449" s="17"/>
      <c r="T449" s="17"/>
    </row>
    <row r="450" spans="1:20" ht="13.5" customHeight="1" x14ac:dyDescent="0.2">
      <c r="A450" s="8"/>
      <c r="S450" s="17"/>
      <c r="T450" s="17"/>
    </row>
    <row r="451" spans="1:20" ht="13.5" customHeight="1" x14ac:dyDescent="0.2">
      <c r="A451" s="8"/>
      <c r="S451" s="17"/>
      <c r="T451" s="17"/>
    </row>
    <row r="452" spans="1:20" ht="13.5" customHeight="1" x14ac:dyDescent="0.2">
      <c r="A452" s="8"/>
      <c r="S452" s="17"/>
      <c r="T452" s="17"/>
    </row>
    <row r="453" spans="1:20" ht="13.5" customHeight="1" x14ac:dyDescent="0.2">
      <c r="A453" s="8"/>
      <c r="S453" s="17"/>
      <c r="T453" s="17"/>
    </row>
    <row r="454" spans="1:20" ht="13.5" customHeight="1" x14ac:dyDescent="0.2">
      <c r="A454" s="8"/>
      <c r="S454" s="17"/>
      <c r="T454" s="17"/>
    </row>
    <row r="455" spans="1:20" ht="13.5" customHeight="1" x14ac:dyDescent="0.2">
      <c r="A455" s="8"/>
      <c r="S455" s="17"/>
      <c r="T455" s="17"/>
    </row>
    <row r="456" spans="1:20" ht="13.5" customHeight="1" x14ac:dyDescent="0.2">
      <c r="A456" s="8"/>
      <c r="S456" s="17"/>
      <c r="T456" s="17"/>
    </row>
    <row r="457" spans="1:20" ht="13.5" customHeight="1" x14ac:dyDescent="0.2">
      <c r="A457" s="8"/>
      <c r="S457" s="17"/>
      <c r="T457" s="17"/>
    </row>
    <row r="458" spans="1:20" ht="13.5" customHeight="1" x14ac:dyDescent="0.2">
      <c r="A458" s="8"/>
      <c r="S458" s="17"/>
      <c r="T458" s="17"/>
    </row>
    <row r="459" spans="1:20" ht="13.5" customHeight="1" x14ac:dyDescent="0.2">
      <c r="A459" s="8"/>
      <c r="S459" s="17"/>
      <c r="T459" s="17"/>
    </row>
    <row r="460" spans="1:20" ht="13.5" customHeight="1" x14ac:dyDescent="0.2">
      <c r="A460" s="8"/>
      <c r="S460" s="17"/>
      <c r="T460" s="17"/>
    </row>
    <row r="461" spans="1:20" ht="13.5" customHeight="1" x14ac:dyDescent="0.2">
      <c r="A461" s="8"/>
      <c r="S461" s="17"/>
      <c r="T461" s="17"/>
    </row>
    <row r="462" spans="1:20" ht="13.5" customHeight="1" x14ac:dyDescent="0.2">
      <c r="A462" s="8"/>
      <c r="S462" s="17"/>
      <c r="T462" s="17"/>
    </row>
    <row r="463" spans="1:20" ht="13.5" customHeight="1" x14ac:dyDescent="0.2">
      <c r="A463" s="8"/>
      <c r="S463" s="17"/>
      <c r="T463" s="17"/>
    </row>
    <row r="464" spans="1:20" ht="13.5" customHeight="1" x14ac:dyDescent="0.2">
      <c r="A464" s="8"/>
      <c r="S464" s="17"/>
      <c r="T464" s="17"/>
    </row>
    <row r="465" spans="1:20" ht="13.5" customHeight="1" x14ac:dyDescent="0.2">
      <c r="A465" s="8"/>
      <c r="S465" s="17"/>
      <c r="T465" s="17"/>
    </row>
    <row r="466" spans="1:20" ht="13.5" customHeight="1" x14ac:dyDescent="0.2">
      <c r="A466" s="8"/>
      <c r="S466" s="17"/>
      <c r="T466" s="17"/>
    </row>
    <row r="467" spans="1:20" ht="13.5" customHeight="1" x14ac:dyDescent="0.2">
      <c r="A467" s="8"/>
      <c r="S467" s="17"/>
      <c r="T467" s="17"/>
    </row>
    <row r="468" spans="1:20" ht="13.5" customHeight="1" x14ac:dyDescent="0.2">
      <c r="A468" s="8"/>
      <c r="S468" s="17"/>
      <c r="T468" s="17"/>
    </row>
    <row r="469" spans="1:20" ht="13.5" customHeight="1" x14ac:dyDescent="0.2">
      <c r="A469" s="8"/>
      <c r="S469" s="17"/>
      <c r="T469" s="17"/>
    </row>
    <row r="470" spans="1:20" ht="13.5" customHeight="1" x14ac:dyDescent="0.2">
      <c r="A470" s="8"/>
      <c r="S470" s="17"/>
      <c r="T470" s="17"/>
    </row>
    <row r="471" spans="1:20" ht="13.5" customHeight="1" x14ac:dyDescent="0.2">
      <c r="A471" s="8"/>
      <c r="S471" s="17"/>
      <c r="T471" s="17"/>
    </row>
    <row r="472" spans="1:20" ht="13.5" customHeight="1" x14ac:dyDescent="0.2">
      <c r="A472" s="8"/>
      <c r="S472" s="17"/>
      <c r="T472" s="17"/>
    </row>
    <row r="473" spans="1:20" ht="13.5" customHeight="1" x14ac:dyDescent="0.2">
      <c r="A473" s="8"/>
      <c r="S473" s="17"/>
      <c r="T473" s="17"/>
    </row>
    <row r="474" spans="1:20" ht="13.5" customHeight="1" x14ac:dyDescent="0.2">
      <c r="A474" s="8"/>
      <c r="S474" s="17"/>
      <c r="T474" s="17"/>
    </row>
    <row r="475" spans="1:20" ht="13.5" customHeight="1" x14ac:dyDescent="0.2">
      <c r="A475" s="8"/>
      <c r="S475" s="17"/>
      <c r="T475" s="17"/>
    </row>
    <row r="476" spans="1:20" ht="13.5" customHeight="1" x14ac:dyDescent="0.2">
      <c r="A476" s="8"/>
      <c r="S476" s="17"/>
      <c r="T476" s="17"/>
    </row>
    <row r="477" spans="1:20" ht="13.5" customHeight="1" x14ac:dyDescent="0.2">
      <c r="A477" s="8"/>
      <c r="S477" s="17"/>
      <c r="T477" s="17"/>
    </row>
    <row r="478" spans="1:20" ht="13.5" customHeight="1" x14ac:dyDescent="0.2">
      <c r="A478" s="8"/>
      <c r="S478" s="17"/>
      <c r="T478" s="17"/>
    </row>
    <row r="479" spans="1:20" ht="13.5" customHeight="1" x14ac:dyDescent="0.2">
      <c r="A479" s="8"/>
      <c r="S479" s="17"/>
      <c r="T479" s="17"/>
    </row>
    <row r="480" spans="1:20" ht="13.5" customHeight="1" x14ac:dyDescent="0.2">
      <c r="A480" s="8"/>
      <c r="S480" s="17"/>
      <c r="T480" s="17"/>
    </row>
    <row r="481" spans="1:20" ht="13.5" customHeight="1" x14ac:dyDescent="0.2">
      <c r="A481" s="8"/>
      <c r="S481" s="17"/>
      <c r="T481" s="17"/>
    </row>
    <row r="482" spans="1:20" ht="13.5" customHeight="1" x14ac:dyDescent="0.2">
      <c r="A482" s="8"/>
      <c r="S482" s="17"/>
      <c r="T482" s="17"/>
    </row>
    <row r="483" spans="1:20" ht="13.5" customHeight="1" x14ac:dyDescent="0.2">
      <c r="A483" s="8"/>
      <c r="S483" s="17"/>
      <c r="T483" s="17"/>
    </row>
    <row r="484" spans="1:20" ht="13.5" customHeight="1" x14ac:dyDescent="0.2">
      <c r="A484" s="8"/>
      <c r="S484" s="17"/>
      <c r="T484" s="17"/>
    </row>
    <row r="485" spans="1:20" ht="13.5" customHeight="1" x14ac:dyDescent="0.2">
      <c r="A485" s="8"/>
      <c r="S485" s="17"/>
      <c r="T485" s="17"/>
    </row>
    <row r="486" spans="1:20" ht="13.5" customHeight="1" x14ac:dyDescent="0.2">
      <c r="A486" s="8"/>
      <c r="S486" s="17"/>
      <c r="T486" s="17"/>
    </row>
    <row r="487" spans="1:20" ht="13.5" customHeight="1" x14ac:dyDescent="0.2">
      <c r="A487" s="8"/>
      <c r="S487" s="17"/>
      <c r="T487" s="17"/>
    </row>
    <row r="488" spans="1:20" ht="13.5" customHeight="1" x14ac:dyDescent="0.2">
      <c r="A488" s="8"/>
      <c r="S488" s="17"/>
      <c r="T488" s="17"/>
    </row>
    <row r="489" spans="1:20" ht="13.5" customHeight="1" x14ac:dyDescent="0.2">
      <c r="A489" s="8"/>
      <c r="S489" s="17"/>
      <c r="T489" s="17"/>
    </row>
    <row r="490" spans="1:20" ht="13.5" customHeight="1" x14ac:dyDescent="0.2">
      <c r="A490" s="8"/>
      <c r="S490" s="17"/>
      <c r="T490" s="17"/>
    </row>
    <row r="491" spans="1:20" ht="13.5" customHeight="1" x14ac:dyDescent="0.2">
      <c r="A491" s="8"/>
      <c r="S491" s="17"/>
      <c r="T491" s="17"/>
    </row>
    <row r="492" spans="1:20" ht="13.5" customHeight="1" x14ac:dyDescent="0.2">
      <c r="A492" s="8"/>
      <c r="S492" s="17"/>
      <c r="T492" s="17"/>
    </row>
    <row r="493" spans="1:20" ht="13.5" customHeight="1" x14ac:dyDescent="0.2">
      <c r="A493" s="8"/>
      <c r="S493" s="17"/>
      <c r="T493" s="17"/>
    </row>
    <row r="494" spans="1:20" ht="13.5" customHeight="1" x14ac:dyDescent="0.2">
      <c r="A494" s="8"/>
      <c r="S494" s="17"/>
      <c r="T494" s="17"/>
    </row>
    <row r="495" spans="1:20" ht="13.5" customHeight="1" x14ac:dyDescent="0.2">
      <c r="A495" s="8"/>
      <c r="S495" s="17"/>
      <c r="T495" s="17"/>
    </row>
    <row r="496" spans="1:20" ht="13.5" customHeight="1" x14ac:dyDescent="0.2">
      <c r="A496" s="8"/>
      <c r="S496" s="17"/>
      <c r="T496" s="17"/>
    </row>
    <row r="497" spans="1:20" ht="13.5" customHeight="1" x14ac:dyDescent="0.2">
      <c r="A497" s="8"/>
      <c r="S497" s="17"/>
      <c r="T497" s="17"/>
    </row>
    <row r="498" spans="1:20" ht="13.5" customHeight="1" x14ac:dyDescent="0.2">
      <c r="A498" s="8"/>
      <c r="S498" s="17"/>
      <c r="T498" s="17"/>
    </row>
    <row r="499" spans="1:20" ht="13.5" customHeight="1" x14ac:dyDescent="0.2">
      <c r="A499" s="8"/>
      <c r="S499" s="17"/>
      <c r="T499" s="17"/>
    </row>
    <row r="500" spans="1:20" ht="13.5" customHeight="1" x14ac:dyDescent="0.2">
      <c r="A500" s="8"/>
      <c r="S500" s="17"/>
      <c r="T500" s="17"/>
    </row>
    <row r="501" spans="1:20" ht="13.5" customHeight="1" x14ac:dyDescent="0.2">
      <c r="A501" s="8"/>
      <c r="S501" s="17"/>
      <c r="T501" s="17"/>
    </row>
    <row r="502" spans="1:20" ht="13.5" customHeight="1" x14ac:dyDescent="0.2">
      <c r="A502" s="8"/>
      <c r="S502" s="17"/>
      <c r="T502" s="17"/>
    </row>
    <row r="503" spans="1:20" ht="13.5" customHeight="1" x14ac:dyDescent="0.2">
      <c r="A503" s="8"/>
      <c r="S503" s="17"/>
      <c r="T503" s="17"/>
    </row>
    <row r="504" spans="1:20" ht="13.5" customHeight="1" x14ac:dyDescent="0.2">
      <c r="A504" s="8"/>
      <c r="S504" s="17"/>
      <c r="T504" s="17"/>
    </row>
    <row r="505" spans="1:20" ht="13.5" customHeight="1" x14ac:dyDescent="0.2">
      <c r="A505" s="8"/>
      <c r="S505" s="17"/>
      <c r="T505" s="17"/>
    </row>
    <row r="506" spans="1:20" ht="13.5" customHeight="1" x14ac:dyDescent="0.2">
      <c r="A506" s="8"/>
      <c r="S506" s="17"/>
      <c r="T506" s="17"/>
    </row>
    <row r="507" spans="1:20" ht="13.5" customHeight="1" x14ac:dyDescent="0.2">
      <c r="A507" s="8"/>
      <c r="S507" s="17"/>
      <c r="T507" s="17"/>
    </row>
    <row r="508" spans="1:20" ht="13.5" customHeight="1" x14ac:dyDescent="0.2">
      <c r="A508" s="8"/>
      <c r="S508" s="17"/>
      <c r="T508" s="17"/>
    </row>
    <row r="509" spans="1:20" ht="13.5" customHeight="1" x14ac:dyDescent="0.2">
      <c r="A509" s="8"/>
      <c r="S509" s="17"/>
      <c r="T509" s="17"/>
    </row>
    <row r="510" spans="1:20" ht="13.5" customHeight="1" x14ac:dyDescent="0.2">
      <c r="A510" s="8"/>
      <c r="S510" s="17"/>
      <c r="T510" s="17"/>
    </row>
    <row r="511" spans="1:20" ht="13.5" customHeight="1" x14ac:dyDescent="0.2">
      <c r="A511" s="8"/>
      <c r="S511" s="17"/>
      <c r="T511" s="17"/>
    </row>
    <row r="512" spans="1:20" ht="13.5" customHeight="1" x14ac:dyDescent="0.2">
      <c r="A512" s="8"/>
      <c r="S512" s="17"/>
      <c r="T512" s="17"/>
    </row>
    <row r="513" spans="1:20" ht="13.5" customHeight="1" x14ac:dyDescent="0.2">
      <c r="A513" s="8"/>
      <c r="S513" s="17"/>
      <c r="T513" s="17"/>
    </row>
    <row r="514" spans="1:20" ht="13.5" customHeight="1" x14ac:dyDescent="0.2">
      <c r="A514" s="8"/>
      <c r="S514" s="17"/>
      <c r="T514" s="17"/>
    </row>
    <row r="515" spans="1:20" ht="13.5" customHeight="1" x14ac:dyDescent="0.2">
      <c r="A515" s="8"/>
      <c r="S515" s="17"/>
      <c r="T515" s="17"/>
    </row>
    <row r="516" spans="1:20" ht="13.5" customHeight="1" x14ac:dyDescent="0.2">
      <c r="A516" s="8"/>
      <c r="S516" s="17"/>
      <c r="T516" s="17"/>
    </row>
    <row r="517" spans="1:20" ht="13.5" customHeight="1" x14ac:dyDescent="0.2">
      <c r="A517" s="8"/>
      <c r="S517" s="17"/>
      <c r="T517" s="17"/>
    </row>
    <row r="518" spans="1:20" ht="13.5" customHeight="1" x14ac:dyDescent="0.2">
      <c r="A518" s="8"/>
      <c r="S518" s="17"/>
      <c r="T518" s="17"/>
    </row>
    <row r="519" spans="1:20" ht="13.5" customHeight="1" x14ac:dyDescent="0.2">
      <c r="A519" s="8"/>
      <c r="S519" s="17"/>
      <c r="T519" s="17"/>
    </row>
    <row r="520" spans="1:20" ht="13.5" customHeight="1" x14ac:dyDescent="0.2">
      <c r="A520" s="8"/>
      <c r="S520" s="17"/>
      <c r="T520" s="17"/>
    </row>
    <row r="521" spans="1:20" ht="13.5" customHeight="1" x14ac:dyDescent="0.2">
      <c r="A521" s="8"/>
      <c r="S521" s="17"/>
      <c r="T521" s="17"/>
    </row>
    <row r="522" spans="1:20" ht="13.5" customHeight="1" x14ac:dyDescent="0.2">
      <c r="A522" s="8"/>
      <c r="S522" s="17"/>
      <c r="T522" s="17"/>
    </row>
    <row r="523" spans="1:20" ht="13.5" customHeight="1" x14ac:dyDescent="0.2">
      <c r="A523" s="8"/>
      <c r="S523" s="17"/>
      <c r="T523" s="17"/>
    </row>
    <row r="524" spans="1:20" ht="13.5" customHeight="1" x14ac:dyDescent="0.2">
      <c r="A524" s="8"/>
      <c r="S524" s="17"/>
      <c r="T524" s="17"/>
    </row>
    <row r="525" spans="1:20" ht="13.5" customHeight="1" x14ac:dyDescent="0.2">
      <c r="A525" s="8"/>
      <c r="S525" s="17"/>
      <c r="T525" s="17"/>
    </row>
    <row r="526" spans="1:20" ht="13.5" customHeight="1" x14ac:dyDescent="0.2">
      <c r="A526" s="8"/>
      <c r="S526" s="17"/>
      <c r="T526" s="17"/>
    </row>
    <row r="527" spans="1:20" ht="13.5" customHeight="1" x14ac:dyDescent="0.2">
      <c r="A527" s="8"/>
      <c r="S527" s="17"/>
      <c r="T527" s="17"/>
    </row>
    <row r="528" spans="1:20" ht="13.5" customHeight="1" x14ac:dyDescent="0.2">
      <c r="A528" s="8"/>
      <c r="S528" s="17"/>
      <c r="T528" s="17"/>
    </row>
    <row r="529" spans="1:20" ht="13.5" customHeight="1" x14ac:dyDescent="0.2">
      <c r="A529" s="8"/>
      <c r="S529" s="17"/>
      <c r="T529" s="17"/>
    </row>
    <row r="530" spans="1:20" ht="13.5" customHeight="1" x14ac:dyDescent="0.2">
      <c r="A530" s="8"/>
      <c r="S530" s="17"/>
      <c r="T530" s="17"/>
    </row>
    <row r="531" spans="1:20" ht="13.5" customHeight="1" x14ac:dyDescent="0.2">
      <c r="A531" s="8"/>
      <c r="S531" s="17"/>
      <c r="T531" s="17"/>
    </row>
    <row r="532" spans="1:20" ht="13.5" customHeight="1" x14ac:dyDescent="0.2">
      <c r="A532" s="8"/>
      <c r="S532" s="17"/>
      <c r="T532" s="17"/>
    </row>
    <row r="533" spans="1:20" ht="13.5" customHeight="1" x14ac:dyDescent="0.2">
      <c r="A533" s="8"/>
      <c r="S533" s="17"/>
      <c r="T533" s="17"/>
    </row>
    <row r="534" spans="1:20" ht="13.5" customHeight="1" x14ac:dyDescent="0.2">
      <c r="A534" s="8"/>
      <c r="S534" s="17"/>
      <c r="T534" s="17"/>
    </row>
    <row r="535" spans="1:20" ht="13.5" customHeight="1" x14ac:dyDescent="0.2">
      <c r="A535" s="8"/>
      <c r="S535" s="17"/>
      <c r="T535" s="17"/>
    </row>
    <row r="536" spans="1:20" ht="13.5" customHeight="1" x14ac:dyDescent="0.2">
      <c r="A536" s="8"/>
      <c r="S536" s="17"/>
      <c r="T536" s="17"/>
    </row>
    <row r="537" spans="1:20" ht="13.5" customHeight="1" x14ac:dyDescent="0.2">
      <c r="A537" s="8"/>
      <c r="S537" s="17"/>
      <c r="T537" s="17"/>
    </row>
    <row r="538" spans="1:20" ht="13.5" customHeight="1" x14ac:dyDescent="0.2">
      <c r="A538" s="8"/>
      <c r="S538" s="17"/>
      <c r="T538" s="17"/>
    </row>
    <row r="539" spans="1:20" ht="13.5" customHeight="1" x14ac:dyDescent="0.2">
      <c r="A539" s="8"/>
      <c r="S539" s="17"/>
      <c r="T539" s="17"/>
    </row>
    <row r="540" spans="1:20" ht="13.5" customHeight="1" x14ac:dyDescent="0.2">
      <c r="A540" s="8"/>
      <c r="S540" s="17"/>
      <c r="T540" s="17"/>
    </row>
    <row r="541" spans="1:20" ht="13.5" customHeight="1" x14ac:dyDescent="0.2">
      <c r="A541" s="8"/>
      <c r="S541" s="17"/>
      <c r="T541" s="17"/>
    </row>
    <row r="542" spans="1:20" ht="13.5" customHeight="1" x14ac:dyDescent="0.2">
      <c r="A542" s="8"/>
      <c r="S542" s="17"/>
      <c r="T542" s="17"/>
    </row>
    <row r="543" spans="1:20" ht="13.5" customHeight="1" x14ac:dyDescent="0.2">
      <c r="A543" s="8"/>
      <c r="S543" s="17"/>
      <c r="T543" s="17"/>
    </row>
    <row r="544" spans="1:20" ht="13.5" customHeight="1" x14ac:dyDescent="0.2">
      <c r="A544" s="8"/>
      <c r="S544" s="17"/>
      <c r="T544" s="17"/>
    </row>
    <row r="545" spans="1:20" ht="13.5" customHeight="1" x14ac:dyDescent="0.2">
      <c r="A545" s="8"/>
      <c r="S545" s="17"/>
      <c r="T545" s="17"/>
    </row>
    <row r="546" spans="1:20" ht="13.5" customHeight="1" x14ac:dyDescent="0.2">
      <c r="A546" s="8"/>
      <c r="S546" s="17"/>
      <c r="T546" s="17"/>
    </row>
    <row r="547" spans="1:20" ht="13.5" customHeight="1" x14ac:dyDescent="0.2">
      <c r="A547" s="8"/>
      <c r="S547" s="17"/>
      <c r="T547" s="17"/>
    </row>
    <row r="548" spans="1:20" ht="13.5" customHeight="1" x14ac:dyDescent="0.2">
      <c r="A548" s="8"/>
      <c r="S548" s="17"/>
      <c r="T548" s="17"/>
    </row>
    <row r="549" spans="1:20" ht="13.5" customHeight="1" x14ac:dyDescent="0.2">
      <c r="A549" s="8"/>
      <c r="S549" s="17"/>
      <c r="T549" s="17"/>
    </row>
    <row r="550" spans="1:20" ht="13.5" customHeight="1" x14ac:dyDescent="0.2">
      <c r="A550" s="8"/>
      <c r="S550" s="17"/>
      <c r="T550" s="17"/>
    </row>
    <row r="551" spans="1:20" ht="13.5" customHeight="1" x14ac:dyDescent="0.2">
      <c r="A551" s="8"/>
      <c r="S551" s="17"/>
      <c r="T551" s="17"/>
    </row>
    <row r="552" spans="1:20" ht="13.5" customHeight="1" x14ac:dyDescent="0.2">
      <c r="A552" s="8"/>
      <c r="S552" s="17"/>
      <c r="T552" s="17"/>
    </row>
    <row r="553" spans="1:20" ht="13.5" customHeight="1" x14ac:dyDescent="0.2">
      <c r="A553" s="8"/>
      <c r="S553" s="17"/>
      <c r="T553" s="17"/>
    </row>
    <row r="554" spans="1:20" ht="13.5" customHeight="1" x14ac:dyDescent="0.2">
      <c r="A554" s="8"/>
      <c r="S554" s="17"/>
      <c r="T554" s="17"/>
    </row>
    <row r="555" spans="1:20" ht="13.5" customHeight="1" x14ac:dyDescent="0.2">
      <c r="A555" s="8"/>
      <c r="S555" s="17"/>
      <c r="T555" s="17"/>
    </row>
    <row r="556" spans="1:20" ht="13.5" customHeight="1" x14ac:dyDescent="0.2">
      <c r="A556" s="8"/>
      <c r="S556" s="17"/>
      <c r="T556" s="17"/>
    </row>
    <row r="557" spans="1:20" ht="13.5" customHeight="1" x14ac:dyDescent="0.2">
      <c r="A557" s="8"/>
      <c r="S557" s="17"/>
      <c r="T557" s="17"/>
    </row>
    <row r="558" spans="1:20" ht="13.5" customHeight="1" x14ac:dyDescent="0.2">
      <c r="A558" s="8"/>
      <c r="S558" s="17"/>
      <c r="T558" s="17"/>
    </row>
    <row r="559" spans="1:20" ht="13.5" customHeight="1" x14ac:dyDescent="0.2">
      <c r="A559" s="8"/>
      <c r="S559" s="17"/>
      <c r="T559" s="17"/>
    </row>
    <row r="560" spans="1:20" ht="13.5" customHeight="1" x14ac:dyDescent="0.2">
      <c r="A560" s="8"/>
      <c r="S560" s="17"/>
      <c r="T560" s="17"/>
    </row>
    <row r="561" spans="1:20" ht="13.5" customHeight="1" x14ac:dyDescent="0.2">
      <c r="A561" s="8"/>
      <c r="S561" s="17"/>
      <c r="T561" s="17"/>
    </row>
    <row r="562" spans="1:20" ht="13.5" customHeight="1" x14ac:dyDescent="0.2">
      <c r="A562" s="8"/>
      <c r="S562" s="17"/>
      <c r="T562" s="17"/>
    </row>
    <row r="563" spans="1:20" ht="13.5" customHeight="1" x14ac:dyDescent="0.2">
      <c r="A563" s="8"/>
      <c r="S563" s="17"/>
      <c r="T563" s="17"/>
    </row>
    <row r="564" spans="1:20" ht="13.5" customHeight="1" x14ac:dyDescent="0.2">
      <c r="A564" s="8"/>
      <c r="S564" s="17"/>
      <c r="T564" s="17"/>
    </row>
    <row r="565" spans="1:20" ht="13.5" customHeight="1" x14ac:dyDescent="0.2">
      <c r="A565" s="8"/>
      <c r="S565" s="17"/>
      <c r="T565" s="17"/>
    </row>
    <row r="566" spans="1:20" ht="13.5" customHeight="1" x14ac:dyDescent="0.2">
      <c r="A566" s="8"/>
      <c r="S566" s="17"/>
      <c r="T566" s="17"/>
    </row>
    <row r="567" spans="1:20" ht="13.5" customHeight="1" x14ac:dyDescent="0.2">
      <c r="A567" s="8"/>
      <c r="S567" s="17"/>
      <c r="T567" s="17"/>
    </row>
    <row r="568" spans="1:20" ht="13.5" customHeight="1" x14ac:dyDescent="0.2">
      <c r="A568" s="8"/>
      <c r="S568" s="17"/>
      <c r="T568" s="17"/>
    </row>
    <row r="569" spans="1:20" ht="13.5" customHeight="1" x14ac:dyDescent="0.2">
      <c r="A569" s="8"/>
      <c r="S569" s="17"/>
      <c r="T569" s="17"/>
    </row>
    <row r="570" spans="1:20" ht="13.5" customHeight="1" x14ac:dyDescent="0.2">
      <c r="A570" s="8"/>
      <c r="S570" s="17"/>
      <c r="T570" s="17"/>
    </row>
    <row r="571" spans="1:20" ht="13.5" customHeight="1" x14ac:dyDescent="0.2">
      <c r="A571" s="8"/>
      <c r="S571" s="17"/>
      <c r="T571" s="17"/>
    </row>
    <row r="572" spans="1:20" ht="13.5" customHeight="1" x14ac:dyDescent="0.2">
      <c r="A572" s="8"/>
      <c r="S572" s="17"/>
      <c r="T572" s="17"/>
    </row>
    <row r="573" spans="1:20" ht="13.5" customHeight="1" x14ac:dyDescent="0.2">
      <c r="A573" s="8"/>
      <c r="S573" s="17"/>
      <c r="T573" s="17"/>
    </row>
    <row r="574" spans="1:20" ht="13.5" customHeight="1" x14ac:dyDescent="0.2">
      <c r="A574" s="8"/>
      <c r="S574" s="17"/>
      <c r="T574" s="17"/>
    </row>
    <row r="575" spans="1:20" ht="13.5" customHeight="1" x14ac:dyDescent="0.2">
      <c r="A575" s="8"/>
      <c r="S575" s="17"/>
      <c r="T575" s="17"/>
    </row>
    <row r="576" spans="1:20" ht="13.5" customHeight="1" x14ac:dyDescent="0.2">
      <c r="A576" s="8"/>
      <c r="S576" s="17"/>
      <c r="T576" s="17"/>
    </row>
    <row r="577" spans="1:20" ht="13.5" customHeight="1" x14ac:dyDescent="0.2">
      <c r="A577" s="8"/>
      <c r="S577" s="17"/>
      <c r="T577" s="17"/>
    </row>
    <row r="578" spans="1:20" ht="13.5" customHeight="1" x14ac:dyDescent="0.2">
      <c r="A578" s="8"/>
      <c r="S578" s="17"/>
      <c r="T578" s="17"/>
    </row>
    <row r="579" spans="1:20" ht="13.5" customHeight="1" x14ac:dyDescent="0.2">
      <c r="A579" s="8"/>
      <c r="S579" s="17"/>
      <c r="T579" s="17"/>
    </row>
    <row r="580" spans="1:20" ht="13.5" customHeight="1" x14ac:dyDescent="0.2">
      <c r="A580" s="8"/>
      <c r="S580" s="17"/>
      <c r="T580" s="17"/>
    </row>
    <row r="581" spans="1:20" ht="13.5" customHeight="1" x14ac:dyDescent="0.2">
      <c r="A581" s="8"/>
      <c r="S581" s="17"/>
      <c r="T581" s="17"/>
    </row>
    <row r="582" spans="1:20" ht="13.5" customHeight="1" x14ac:dyDescent="0.2">
      <c r="A582" s="8"/>
      <c r="S582" s="17"/>
      <c r="T582" s="17"/>
    </row>
    <row r="583" spans="1:20" ht="13.5" customHeight="1" x14ac:dyDescent="0.2">
      <c r="A583" s="8"/>
      <c r="S583" s="17"/>
      <c r="T583" s="17"/>
    </row>
    <row r="584" spans="1:20" ht="13.5" customHeight="1" x14ac:dyDescent="0.2">
      <c r="A584" s="8"/>
      <c r="S584" s="17"/>
      <c r="T584" s="17"/>
    </row>
    <row r="585" spans="1:20" ht="13.5" customHeight="1" x14ac:dyDescent="0.2">
      <c r="A585" s="8"/>
      <c r="S585" s="17"/>
      <c r="T585" s="17"/>
    </row>
    <row r="586" spans="1:20" ht="13.5" customHeight="1" x14ac:dyDescent="0.2">
      <c r="A586" s="8"/>
      <c r="S586" s="17"/>
      <c r="T586" s="17"/>
    </row>
    <row r="587" spans="1:20" ht="13.5" customHeight="1" x14ac:dyDescent="0.2">
      <c r="A587" s="8"/>
      <c r="S587" s="17"/>
      <c r="T587" s="17"/>
    </row>
    <row r="588" spans="1:20" ht="13.5" customHeight="1" x14ac:dyDescent="0.2">
      <c r="A588" s="8"/>
      <c r="S588" s="17"/>
      <c r="T588" s="17"/>
    </row>
    <row r="589" spans="1:20" ht="13.5" customHeight="1" x14ac:dyDescent="0.2">
      <c r="A589" s="8"/>
      <c r="S589" s="17"/>
      <c r="T589" s="17"/>
    </row>
    <row r="590" spans="1:20" ht="13.5" customHeight="1" x14ac:dyDescent="0.2">
      <c r="A590" s="8"/>
      <c r="S590" s="17"/>
      <c r="T590" s="17"/>
    </row>
    <row r="591" spans="1:20" ht="13.5" customHeight="1" x14ac:dyDescent="0.2">
      <c r="A591" s="8"/>
      <c r="S591" s="17"/>
      <c r="T591" s="17"/>
    </row>
    <row r="592" spans="1:20" ht="13.5" customHeight="1" x14ac:dyDescent="0.2">
      <c r="A592" s="8"/>
      <c r="S592" s="17"/>
      <c r="T592" s="17"/>
    </row>
    <row r="593" spans="1:20" ht="13.5" customHeight="1" x14ac:dyDescent="0.2">
      <c r="A593" s="8"/>
      <c r="S593" s="17"/>
      <c r="T593" s="17"/>
    </row>
    <row r="594" spans="1:20" ht="13.5" customHeight="1" x14ac:dyDescent="0.2">
      <c r="A594" s="8"/>
      <c r="S594" s="17"/>
      <c r="T594" s="17"/>
    </row>
    <row r="595" spans="1:20" ht="13.5" customHeight="1" x14ac:dyDescent="0.2">
      <c r="A595" s="8"/>
      <c r="S595" s="17"/>
      <c r="T595" s="17"/>
    </row>
    <row r="596" spans="1:20" ht="13.5" customHeight="1" x14ac:dyDescent="0.2">
      <c r="A596" s="8"/>
      <c r="S596" s="17"/>
      <c r="T596" s="17"/>
    </row>
    <row r="597" spans="1:20" ht="13.5" customHeight="1" x14ac:dyDescent="0.2">
      <c r="A597" s="8"/>
      <c r="S597" s="17"/>
      <c r="T597" s="17"/>
    </row>
    <row r="598" spans="1:20" ht="13.5" customHeight="1" x14ac:dyDescent="0.2">
      <c r="A598" s="8"/>
      <c r="S598" s="17"/>
      <c r="T598" s="17"/>
    </row>
    <row r="599" spans="1:20" ht="13.5" customHeight="1" x14ac:dyDescent="0.2">
      <c r="A599" s="8"/>
      <c r="S599" s="17"/>
      <c r="T599" s="17"/>
    </row>
    <row r="600" spans="1:20" ht="13.5" customHeight="1" x14ac:dyDescent="0.2">
      <c r="A600" s="8"/>
      <c r="S600" s="17"/>
      <c r="T600" s="17"/>
    </row>
    <row r="601" spans="1:20" ht="13.5" customHeight="1" x14ac:dyDescent="0.2">
      <c r="A601" s="8"/>
      <c r="S601" s="17"/>
      <c r="T601" s="17"/>
    </row>
    <row r="602" spans="1:20" ht="13.5" customHeight="1" x14ac:dyDescent="0.2">
      <c r="A602" s="8"/>
      <c r="S602" s="17"/>
      <c r="T602" s="17"/>
    </row>
    <row r="603" spans="1:20" ht="13.5" customHeight="1" x14ac:dyDescent="0.2">
      <c r="A603" s="8"/>
      <c r="S603" s="17"/>
      <c r="T603" s="17"/>
    </row>
    <row r="604" spans="1:20" ht="13.5" customHeight="1" x14ac:dyDescent="0.2">
      <c r="A604" s="8"/>
      <c r="S604" s="17"/>
      <c r="T604" s="17"/>
    </row>
    <row r="605" spans="1:20" ht="13.5" customHeight="1" x14ac:dyDescent="0.2">
      <c r="A605" s="8"/>
      <c r="S605" s="17"/>
      <c r="T605" s="17"/>
    </row>
    <row r="606" spans="1:20" ht="13.5" customHeight="1" x14ac:dyDescent="0.2">
      <c r="A606" s="8"/>
      <c r="S606" s="17"/>
      <c r="T606" s="17"/>
    </row>
    <row r="607" spans="1:20" ht="13.5" customHeight="1" x14ac:dyDescent="0.2">
      <c r="A607" s="8"/>
      <c r="S607" s="17"/>
      <c r="T607" s="17"/>
    </row>
    <row r="608" spans="1:20" ht="13.5" customHeight="1" x14ac:dyDescent="0.2">
      <c r="A608" s="8"/>
      <c r="S608" s="17"/>
      <c r="T608" s="17"/>
    </row>
    <row r="609" spans="1:20" ht="13.5" customHeight="1" x14ac:dyDescent="0.2">
      <c r="A609" s="8"/>
      <c r="S609" s="17"/>
      <c r="T609" s="17"/>
    </row>
    <row r="610" spans="1:20" ht="13.5" customHeight="1" x14ac:dyDescent="0.2">
      <c r="A610" s="8"/>
      <c r="S610" s="17"/>
      <c r="T610" s="17"/>
    </row>
    <row r="611" spans="1:20" ht="13.5" customHeight="1" x14ac:dyDescent="0.2">
      <c r="A611" s="8"/>
      <c r="S611" s="17"/>
      <c r="T611" s="17"/>
    </row>
    <row r="612" spans="1:20" ht="13.5" customHeight="1" x14ac:dyDescent="0.2">
      <c r="A612" s="8"/>
      <c r="S612" s="17"/>
      <c r="T612" s="17"/>
    </row>
    <row r="613" spans="1:20" ht="13.5" customHeight="1" x14ac:dyDescent="0.2">
      <c r="A613" s="8"/>
      <c r="S613" s="17"/>
      <c r="T613" s="17"/>
    </row>
    <row r="614" spans="1:20" ht="13.5" customHeight="1" x14ac:dyDescent="0.2">
      <c r="A614" s="8"/>
      <c r="S614" s="17"/>
      <c r="T614" s="17"/>
    </row>
    <row r="615" spans="1:20" ht="13.5" customHeight="1" x14ac:dyDescent="0.2">
      <c r="A615" s="8"/>
      <c r="S615" s="17"/>
      <c r="T615" s="17"/>
    </row>
    <row r="616" spans="1:20" ht="13.5" customHeight="1" x14ac:dyDescent="0.2">
      <c r="A616" s="8"/>
      <c r="S616" s="17"/>
      <c r="T616" s="17"/>
    </row>
    <row r="617" spans="1:20" ht="13.5" customHeight="1" x14ac:dyDescent="0.2">
      <c r="A617" s="8"/>
      <c r="S617" s="17"/>
      <c r="T617" s="17"/>
    </row>
    <row r="618" spans="1:20" ht="13.5" customHeight="1" x14ac:dyDescent="0.2">
      <c r="A618" s="8"/>
      <c r="S618" s="17"/>
      <c r="T618" s="17"/>
    </row>
    <row r="619" spans="1:20" ht="13.5" customHeight="1" x14ac:dyDescent="0.2">
      <c r="A619" s="8"/>
      <c r="S619" s="17"/>
      <c r="T619" s="17"/>
    </row>
    <row r="620" spans="1:20" ht="13.5" customHeight="1" x14ac:dyDescent="0.2">
      <c r="A620" s="8"/>
      <c r="S620" s="17"/>
      <c r="T620" s="17"/>
    </row>
    <row r="621" spans="1:20" ht="13.5" customHeight="1" x14ac:dyDescent="0.2">
      <c r="A621" s="8"/>
      <c r="S621" s="17"/>
      <c r="T621" s="17"/>
    </row>
    <row r="622" spans="1:20" ht="13.5" customHeight="1" x14ac:dyDescent="0.2">
      <c r="A622" s="8"/>
      <c r="S622" s="17"/>
      <c r="T622" s="17"/>
    </row>
    <row r="623" spans="1:20" ht="13.5" customHeight="1" x14ac:dyDescent="0.2">
      <c r="A623" s="8"/>
      <c r="S623" s="17"/>
      <c r="T623" s="17"/>
    </row>
    <row r="624" spans="1:20" ht="13.5" customHeight="1" x14ac:dyDescent="0.2">
      <c r="A624" s="8"/>
      <c r="S624" s="17"/>
      <c r="T624" s="17"/>
    </row>
    <row r="625" spans="1:20" ht="13.5" customHeight="1" x14ac:dyDescent="0.2">
      <c r="A625" s="8"/>
      <c r="S625" s="17"/>
      <c r="T625" s="17"/>
    </row>
    <row r="626" spans="1:20" ht="13.5" customHeight="1" x14ac:dyDescent="0.2">
      <c r="A626" s="8"/>
      <c r="S626" s="17"/>
      <c r="T626" s="17"/>
    </row>
    <row r="627" spans="1:20" ht="13.5" customHeight="1" x14ac:dyDescent="0.2">
      <c r="A627" s="8"/>
      <c r="S627" s="17"/>
      <c r="T627" s="17"/>
    </row>
    <row r="628" spans="1:20" ht="13.5" customHeight="1" x14ac:dyDescent="0.2">
      <c r="A628" s="8"/>
      <c r="S628" s="17"/>
      <c r="T628" s="17"/>
    </row>
    <row r="629" spans="1:20" ht="13.5" customHeight="1" x14ac:dyDescent="0.2">
      <c r="A629" s="8"/>
      <c r="S629" s="17"/>
      <c r="T629" s="17"/>
    </row>
    <row r="630" spans="1:20" ht="13.5" customHeight="1" x14ac:dyDescent="0.2">
      <c r="A630" s="8"/>
      <c r="S630" s="17"/>
      <c r="T630" s="17"/>
    </row>
    <row r="631" spans="1:20" ht="13.5" customHeight="1" x14ac:dyDescent="0.2">
      <c r="A631" s="8"/>
      <c r="S631" s="17"/>
      <c r="T631" s="17"/>
    </row>
    <row r="632" spans="1:20" ht="13.5" customHeight="1" x14ac:dyDescent="0.2">
      <c r="A632" s="8"/>
      <c r="S632" s="17"/>
      <c r="T632" s="17"/>
    </row>
    <row r="633" spans="1:20" ht="13.5" customHeight="1" x14ac:dyDescent="0.2">
      <c r="A633" s="8"/>
      <c r="S633" s="17"/>
      <c r="T633" s="17"/>
    </row>
    <row r="634" spans="1:20" ht="13.5" customHeight="1" x14ac:dyDescent="0.2">
      <c r="A634" s="8"/>
      <c r="S634" s="17"/>
      <c r="T634" s="17"/>
    </row>
    <row r="635" spans="1:20" ht="13.5" customHeight="1" x14ac:dyDescent="0.2">
      <c r="A635" s="8"/>
      <c r="S635" s="17"/>
      <c r="T635" s="17"/>
    </row>
    <row r="636" spans="1:20" ht="13.5" customHeight="1" x14ac:dyDescent="0.2">
      <c r="A636" s="8"/>
      <c r="S636" s="17"/>
      <c r="T636" s="17"/>
    </row>
    <row r="637" spans="1:20" ht="13.5" customHeight="1" x14ac:dyDescent="0.2">
      <c r="A637" s="8"/>
      <c r="S637" s="17"/>
      <c r="T637" s="17"/>
    </row>
    <row r="638" spans="1:20" ht="13.5" customHeight="1" x14ac:dyDescent="0.2">
      <c r="A638" s="8"/>
      <c r="S638" s="17"/>
      <c r="T638" s="17"/>
    </row>
    <row r="639" spans="1:20" ht="13.5" customHeight="1" x14ac:dyDescent="0.2">
      <c r="A639" s="8"/>
      <c r="S639" s="17"/>
      <c r="T639" s="17"/>
    </row>
    <row r="640" spans="1:20" ht="13.5" customHeight="1" x14ac:dyDescent="0.2">
      <c r="A640" s="8"/>
      <c r="S640" s="17"/>
      <c r="T640" s="17"/>
    </row>
    <row r="641" spans="1:20" ht="13.5" customHeight="1" x14ac:dyDescent="0.2">
      <c r="A641" s="8"/>
      <c r="S641" s="17"/>
      <c r="T641" s="17"/>
    </row>
    <row r="642" spans="1:20" ht="13.5" customHeight="1" x14ac:dyDescent="0.2">
      <c r="A642" s="8"/>
      <c r="S642" s="17"/>
      <c r="T642" s="17"/>
    </row>
    <row r="643" spans="1:20" ht="13.5" customHeight="1" x14ac:dyDescent="0.2">
      <c r="A643" s="8"/>
      <c r="S643" s="17"/>
      <c r="T643" s="17"/>
    </row>
    <row r="644" spans="1:20" ht="13.5" customHeight="1" x14ac:dyDescent="0.2">
      <c r="A644" s="8"/>
      <c r="S644" s="17"/>
      <c r="T644" s="17"/>
    </row>
    <row r="645" spans="1:20" ht="13.5" customHeight="1" x14ac:dyDescent="0.2">
      <c r="A645" s="8"/>
      <c r="S645" s="17"/>
      <c r="T645" s="17"/>
    </row>
    <row r="646" spans="1:20" ht="13.5" customHeight="1" x14ac:dyDescent="0.2">
      <c r="A646" s="8"/>
      <c r="S646" s="17"/>
      <c r="T646" s="17"/>
    </row>
    <row r="647" spans="1:20" ht="13.5" customHeight="1" x14ac:dyDescent="0.2">
      <c r="A647" s="8"/>
      <c r="S647" s="17"/>
      <c r="T647" s="17"/>
    </row>
    <row r="648" spans="1:20" ht="13.5" customHeight="1" x14ac:dyDescent="0.2">
      <c r="A648" s="8"/>
      <c r="S648" s="17"/>
      <c r="T648" s="17"/>
    </row>
    <row r="649" spans="1:20" ht="13.5" customHeight="1" x14ac:dyDescent="0.2">
      <c r="A649" s="8"/>
      <c r="S649" s="17"/>
      <c r="T649" s="17"/>
    </row>
    <row r="650" spans="1:20" ht="13.5" customHeight="1" x14ac:dyDescent="0.2">
      <c r="A650" s="8"/>
      <c r="S650" s="17"/>
      <c r="T650" s="17"/>
    </row>
    <row r="651" spans="1:20" ht="13.5" customHeight="1" x14ac:dyDescent="0.2">
      <c r="A651" s="8"/>
      <c r="S651" s="17"/>
      <c r="T651" s="17"/>
    </row>
    <row r="652" spans="1:20" ht="13.5" customHeight="1" x14ac:dyDescent="0.2">
      <c r="A652" s="8"/>
      <c r="S652" s="17"/>
      <c r="T652" s="17"/>
    </row>
    <row r="653" spans="1:20" ht="13.5" customHeight="1" x14ac:dyDescent="0.2">
      <c r="A653" s="8"/>
      <c r="S653" s="17"/>
      <c r="T653" s="17"/>
    </row>
    <row r="654" spans="1:20" ht="13.5" customHeight="1" x14ac:dyDescent="0.2">
      <c r="A654" s="8"/>
      <c r="S654" s="17"/>
      <c r="T654" s="17"/>
    </row>
    <row r="655" spans="1:20" ht="13.5" customHeight="1" x14ac:dyDescent="0.2">
      <c r="A655" s="8"/>
      <c r="S655" s="17"/>
      <c r="T655" s="17"/>
    </row>
    <row r="656" spans="1:20" ht="13.5" customHeight="1" x14ac:dyDescent="0.2">
      <c r="A656" s="8"/>
      <c r="S656" s="17"/>
      <c r="T656" s="17"/>
    </row>
    <row r="657" spans="1:20" ht="13.5" customHeight="1" x14ac:dyDescent="0.2">
      <c r="A657" s="8"/>
      <c r="S657" s="17"/>
      <c r="T657" s="17"/>
    </row>
    <row r="658" spans="1:20" ht="13.5" customHeight="1" x14ac:dyDescent="0.2">
      <c r="A658" s="8"/>
      <c r="S658" s="17"/>
      <c r="T658" s="17"/>
    </row>
    <row r="659" spans="1:20" ht="13.5" customHeight="1" x14ac:dyDescent="0.2">
      <c r="A659" s="8"/>
      <c r="S659" s="17"/>
      <c r="T659" s="17"/>
    </row>
    <row r="660" spans="1:20" ht="13.5" customHeight="1" x14ac:dyDescent="0.2">
      <c r="A660" s="8"/>
      <c r="S660" s="17"/>
      <c r="T660" s="17"/>
    </row>
    <row r="661" spans="1:20" ht="13.5" customHeight="1" x14ac:dyDescent="0.2">
      <c r="A661" s="8"/>
      <c r="S661" s="17"/>
      <c r="T661" s="17"/>
    </row>
    <row r="662" spans="1:20" ht="13.5" customHeight="1" x14ac:dyDescent="0.2">
      <c r="A662" s="8"/>
      <c r="S662" s="17"/>
      <c r="T662" s="17"/>
    </row>
    <row r="663" spans="1:20" ht="13.5" customHeight="1" x14ac:dyDescent="0.2">
      <c r="A663" s="8"/>
      <c r="S663" s="17"/>
      <c r="T663" s="17"/>
    </row>
    <row r="664" spans="1:20" ht="13.5" customHeight="1" x14ac:dyDescent="0.2">
      <c r="A664" s="8"/>
      <c r="S664" s="17"/>
      <c r="T664" s="17"/>
    </row>
    <row r="665" spans="1:20" ht="13.5" customHeight="1" x14ac:dyDescent="0.2">
      <c r="A665" s="8"/>
      <c r="S665" s="17"/>
      <c r="T665" s="17"/>
    </row>
    <row r="666" spans="1:20" ht="13.5" customHeight="1" x14ac:dyDescent="0.2">
      <c r="A666" s="8"/>
      <c r="S666" s="17"/>
      <c r="T666" s="17"/>
    </row>
    <row r="667" spans="1:20" ht="13.5" customHeight="1" x14ac:dyDescent="0.2">
      <c r="A667" s="8"/>
      <c r="S667" s="17"/>
      <c r="T667" s="17"/>
    </row>
    <row r="668" spans="1:20" ht="13.5" customHeight="1" x14ac:dyDescent="0.2">
      <c r="A668" s="8"/>
      <c r="S668" s="17"/>
      <c r="T668" s="17"/>
    </row>
    <row r="669" spans="1:20" ht="13.5" customHeight="1" x14ac:dyDescent="0.2">
      <c r="A669" s="8"/>
      <c r="S669" s="17"/>
      <c r="T669" s="17"/>
    </row>
    <row r="670" spans="1:20" ht="13.5" customHeight="1" x14ac:dyDescent="0.2">
      <c r="A670" s="8"/>
      <c r="S670" s="17"/>
      <c r="T670" s="17"/>
    </row>
    <row r="671" spans="1:20" ht="13.5" customHeight="1" x14ac:dyDescent="0.2">
      <c r="A671" s="8"/>
      <c r="S671" s="17"/>
      <c r="T671" s="17"/>
    </row>
    <row r="672" spans="1:20" ht="13.5" customHeight="1" x14ac:dyDescent="0.2">
      <c r="A672" s="8"/>
      <c r="S672" s="17"/>
      <c r="T672" s="17"/>
    </row>
    <row r="673" spans="1:20" ht="13.5" customHeight="1" x14ac:dyDescent="0.2">
      <c r="A673" s="8"/>
      <c r="S673" s="17"/>
      <c r="T673" s="17"/>
    </row>
    <row r="674" spans="1:20" ht="13.5" customHeight="1" x14ac:dyDescent="0.2">
      <c r="A674" s="8"/>
      <c r="S674" s="17"/>
      <c r="T674" s="17"/>
    </row>
    <row r="675" spans="1:20" ht="13.5" customHeight="1" x14ac:dyDescent="0.2">
      <c r="A675" s="8"/>
      <c r="S675" s="17"/>
      <c r="T675" s="17"/>
    </row>
    <row r="676" spans="1:20" ht="13.5" customHeight="1" x14ac:dyDescent="0.2">
      <c r="A676" s="8"/>
      <c r="S676" s="17"/>
      <c r="T676" s="17"/>
    </row>
    <row r="677" spans="1:20" ht="13.5" customHeight="1" x14ac:dyDescent="0.2">
      <c r="A677" s="8"/>
      <c r="S677" s="17"/>
      <c r="T677" s="17"/>
    </row>
    <row r="678" spans="1:20" ht="13.5" customHeight="1" x14ac:dyDescent="0.2">
      <c r="A678" s="8"/>
      <c r="S678" s="17"/>
      <c r="T678" s="17"/>
    </row>
    <row r="679" spans="1:20" ht="13.5" customHeight="1" x14ac:dyDescent="0.2">
      <c r="A679" s="8"/>
      <c r="S679" s="17"/>
      <c r="T679" s="17"/>
    </row>
    <row r="680" spans="1:20" ht="13.5" customHeight="1" x14ac:dyDescent="0.2">
      <c r="A680" s="8"/>
      <c r="S680" s="17"/>
      <c r="T680" s="17"/>
    </row>
    <row r="681" spans="1:20" ht="13.5" customHeight="1" x14ac:dyDescent="0.2">
      <c r="A681" s="8"/>
      <c r="S681" s="17"/>
      <c r="T681" s="17"/>
    </row>
    <row r="682" spans="1:20" ht="13.5" customHeight="1" x14ac:dyDescent="0.2">
      <c r="A682" s="8"/>
      <c r="S682" s="17"/>
      <c r="T682" s="17"/>
    </row>
    <row r="683" spans="1:20" ht="13.5" customHeight="1" x14ac:dyDescent="0.2">
      <c r="A683" s="8"/>
      <c r="S683" s="17"/>
      <c r="T683" s="17"/>
    </row>
    <row r="684" spans="1:20" ht="13.5" customHeight="1" x14ac:dyDescent="0.2">
      <c r="A684" s="8"/>
      <c r="S684" s="17"/>
      <c r="T684" s="17"/>
    </row>
    <row r="685" spans="1:20" ht="13.5" customHeight="1" x14ac:dyDescent="0.2">
      <c r="A685" s="8"/>
      <c r="S685" s="17"/>
      <c r="T685" s="17"/>
    </row>
    <row r="686" spans="1:20" ht="13.5" customHeight="1" x14ac:dyDescent="0.2">
      <c r="A686" s="8"/>
      <c r="S686" s="17"/>
      <c r="T686" s="17"/>
    </row>
    <row r="687" spans="1:20" ht="13.5" customHeight="1" x14ac:dyDescent="0.2">
      <c r="A687" s="8"/>
      <c r="S687" s="17"/>
      <c r="T687" s="17"/>
    </row>
    <row r="688" spans="1:20" ht="13.5" customHeight="1" x14ac:dyDescent="0.2">
      <c r="A688" s="8"/>
      <c r="S688" s="17"/>
      <c r="T688" s="17"/>
    </row>
    <row r="689" spans="1:20" ht="13.5" customHeight="1" x14ac:dyDescent="0.2">
      <c r="A689" s="8"/>
      <c r="S689" s="17"/>
      <c r="T689" s="17"/>
    </row>
    <row r="690" spans="1:20" ht="13.5" customHeight="1" x14ac:dyDescent="0.2">
      <c r="A690" s="8"/>
      <c r="S690" s="17"/>
      <c r="T690" s="17"/>
    </row>
    <row r="691" spans="1:20" ht="13.5" customHeight="1" x14ac:dyDescent="0.2">
      <c r="A691" s="8"/>
      <c r="S691" s="17"/>
      <c r="T691" s="17"/>
    </row>
    <row r="692" spans="1:20" ht="13.5" customHeight="1" x14ac:dyDescent="0.2">
      <c r="A692" s="8"/>
      <c r="S692" s="17"/>
      <c r="T692" s="17"/>
    </row>
    <row r="693" spans="1:20" ht="13.5" customHeight="1" x14ac:dyDescent="0.2">
      <c r="A693" s="8"/>
      <c r="S693" s="17"/>
      <c r="T693" s="17"/>
    </row>
    <row r="694" spans="1:20" ht="13.5" customHeight="1" x14ac:dyDescent="0.2">
      <c r="A694" s="8"/>
      <c r="S694" s="17"/>
      <c r="T694" s="17"/>
    </row>
    <row r="695" spans="1:20" ht="13.5" customHeight="1" x14ac:dyDescent="0.2">
      <c r="A695" s="8"/>
      <c r="S695" s="17"/>
      <c r="T695" s="17"/>
    </row>
    <row r="696" spans="1:20" ht="13.5" customHeight="1" x14ac:dyDescent="0.2">
      <c r="A696" s="8"/>
      <c r="S696" s="17"/>
      <c r="T696" s="17"/>
    </row>
    <row r="697" spans="1:20" ht="13.5" customHeight="1" x14ac:dyDescent="0.2">
      <c r="A697" s="8"/>
      <c r="S697" s="17"/>
      <c r="T697" s="17"/>
    </row>
    <row r="698" spans="1:20" ht="13.5" customHeight="1" x14ac:dyDescent="0.2">
      <c r="A698" s="8"/>
      <c r="S698" s="17"/>
      <c r="T698" s="17"/>
    </row>
    <row r="699" spans="1:20" ht="13.5" customHeight="1" x14ac:dyDescent="0.2">
      <c r="A699" s="8"/>
      <c r="S699" s="17"/>
      <c r="T699" s="17"/>
    </row>
    <row r="700" spans="1:20" ht="13.5" customHeight="1" x14ac:dyDescent="0.2">
      <c r="A700" s="8"/>
      <c r="S700" s="17"/>
      <c r="T700" s="17"/>
    </row>
    <row r="701" spans="1:20" ht="13.5" customHeight="1" x14ac:dyDescent="0.2">
      <c r="A701" s="8"/>
      <c r="S701" s="17"/>
      <c r="T701" s="17"/>
    </row>
    <row r="702" spans="1:20" ht="13.5" customHeight="1" x14ac:dyDescent="0.2">
      <c r="A702" s="8"/>
      <c r="S702" s="17"/>
      <c r="T702" s="17"/>
    </row>
    <row r="703" spans="1:20" ht="13.5" customHeight="1" x14ac:dyDescent="0.2">
      <c r="A703" s="8"/>
      <c r="S703" s="17"/>
      <c r="T703" s="17"/>
    </row>
    <row r="704" spans="1:20" ht="13.5" customHeight="1" x14ac:dyDescent="0.2">
      <c r="A704" s="8"/>
      <c r="S704" s="17"/>
      <c r="T704" s="17"/>
    </row>
    <row r="705" spans="1:20" ht="13.5" customHeight="1" x14ac:dyDescent="0.2">
      <c r="A705" s="8"/>
      <c r="S705" s="17"/>
      <c r="T705" s="17"/>
    </row>
    <row r="706" spans="1:20" ht="13.5" customHeight="1" x14ac:dyDescent="0.2">
      <c r="A706" s="8"/>
      <c r="S706" s="17"/>
      <c r="T706" s="17"/>
    </row>
    <row r="707" spans="1:20" ht="13.5" customHeight="1" x14ac:dyDescent="0.2">
      <c r="A707" s="8"/>
      <c r="S707" s="17"/>
      <c r="T707" s="17"/>
    </row>
    <row r="708" spans="1:20" ht="13.5" customHeight="1" x14ac:dyDescent="0.2">
      <c r="A708" s="8"/>
      <c r="S708" s="17"/>
      <c r="T708" s="17"/>
    </row>
    <row r="709" spans="1:20" ht="13.5" customHeight="1" x14ac:dyDescent="0.2">
      <c r="A709" s="8"/>
      <c r="S709" s="17"/>
      <c r="T709" s="17"/>
    </row>
    <row r="710" spans="1:20" ht="13.5" customHeight="1" x14ac:dyDescent="0.2">
      <c r="A710" s="8"/>
      <c r="S710" s="17"/>
      <c r="T710" s="17"/>
    </row>
    <row r="711" spans="1:20" ht="13.5" customHeight="1" x14ac:dyDescent="0.2">
      <c r="A711" s="8"/>
      <c r="S711" s="17"/>
      <c r="T711" s="17"/>
    </row>
    <row r="712" spans="1:20" ht="13.5" customHeight="1" x14ac:dyDescent="0.2">
      <c r="A712" s="8"/>
      <c r="S712" s="17"/>
      <c r="T712" s="17"/>
    </row>
    <row r="713" spans="1:20" ht="13.5" customHeight="1" x14ac:dyDescent="0.2">
      <c r="A713" s="8"/>
      <c r="S713" s="17"/>
      <c r="T713" s="17"/>
    </row>
    <row r="714" spans="1:20" ht="13.5" customHeight="1" x14ac:dyDescent="0.2">
      <c r="A714" s="8"/>
      <c r="S714" s="17"/>
      <c r="T714" s="17"/>
    </row>
    <row r="715" spans="1:20" ht="13.5" customHeight="1" x14ac:dyDescent="0.2">
      <c r="A715" s="8"/>
      <c r="S715" s="17"/>
      <c r="T715" s="17"/>
    </row>
    <row r="716" spans="1:20" ht="13.5" customHeight="1" x14ac:dyDescent="0.2">
      <c r="A716" s="8"/>
      <c r="S716" s="17"/>
      <c r="T716" s="17"/>
    </row>
    <row r="717" spans="1:20" ht="13.5" customHeight="1" x14ac:dyDescent="0.2">
      <c r="A717" s="8"/>
      <c r="S717" s="17"/>
      <c r="T717" s="17"/>
    </row>
    <row r="718" spans="1:20" ht="13.5" customHeight="1" x14ac:dyDescent="0.2">
      <c r="A718" s="8"/>
      <c r="S718" s="17"/>
      <c r="T718" s="17"/>
    </row>
    <row r="719" spans="1:20" ht="13.5" customHeight="1" x14ac:dyDescent="0.2">
      <c r="A719" s="8"/>
      <c r="S719" s="17"/>
      <c r="T719" s="17"/>
    </row>
    <row r="720" spans="1:20" ht="13.5" customHeight="1" x14ac:dyDescent="0.2">
      <c r="A720" s="8"/>
      <c r="S720" s="17"/>
      <c r="T720" s="17"/>
    </row>
    <row r="721" spans="1:20" ht="13.5" customHeight="1" x14ac:dyDescent="0.2">
      <c r="A721" s="8"/>
      <c r="S721" s="17"/>
      <c r="T721" s="17"/>
    </row>
    <row r="722" spans="1:20" ht="13.5" customHeight="1" x14ac:dyDescent="0.2">
      <c r="A722" s="8"/>
      <c r="S722" s="17"/>
      <c r="T722" s="17"/>
    </row>
    <row r="723" spans="1:20" ht="13.5" customHeight="1" x14ac:dyDescent="0.2">
      <c r="A723" s="8"/>
      <c r="S723" s="17"/>
      <c r="T723" s="17"/>
    </row>
    <row r="724" spans="1:20" ht="13.5" customHeight="1" x14ac:dyDescent="0.2">
      <c r="A724" s="8"/>
      <c r="S724" s="17"/>
      <c r="T724" s="17"/>
    </row>
    <row r="725" spans="1:20" ht="13.5" customHeight="1" x14ac:dyDescent="0.2">
      <c r="A725" s="8"/>
      <c r="S725" s="17"/>
      <c r="T725" s="17"/>
    </row>
    <row r="726" spans="1:20" ht="13.5" customHeight="1" x14ac:dyDescent="0.2">
      <c r="A726" s="8"/>
      <c r="S726" s="17"/>
      <c r="T726" s="17"/>
    </row>
    <row r="727" spans="1:20" ht="13.5" customHeight="1" x14ac:dyDescent="0.2">
      <c r="A727" s="8"/>
      <c r="S727" s="17"/>
      <c r="T727" s="17"/>
    </row>
    <row r="728" spans="1:20" ht="13.5" customHeight="1" x14ac:dyDescent="0.2">
      <c r="A728" s="8"/>
      <c r="S728" s="17"/>
      <c r="T728" s="17"/>
    </row>
    <row r="729" spans="1:20" ht="13.5" customHeight="1" x14ac:dyDescent="0.2">
      <c r="A729" s="8"/>
      <c r="S729" s="17"/>
      <c r="T729" s="17"/>
    </row>
    <row r="730" spans="1:20" ht="13.5" customHeight="1" x14ac:dyDescent="0.2">
      <c r="A730" s="8"/>
      <c r="S730" s="17"/>
      <c r="T730" s="17"/>
    </row>
    <row r="731" spans="1:20" ht="13.5" customHeight="1" x14ac:dyDescent="0.2">
      <c r="A731" s="8"/>
      <c r="S731" s="17"/>
      <c r="T731" s="17"/>
    </row>
    <row r="732" spans="1:20" ht="13.5" customHeight="1" x14ac:dyDescent="0.2">
      <c r="A732" s="8"/>
      <c r="S732" s="17"/>
      <c r="T732" s="17"/>
    </row>
    <row r="733" spans="1:20" ht="13.5" customHeight="1" x14ac:dyDescent="0.2">
      <c r="A733" s="8"/>
      <c r="S733" s="17"/>
      <c r="T733" s="17"/>
    </row>
    <row r="734" spans="1:20" ht="13.5" customHeight="1" x14ac:dyDescent="0.2">
      <c r="A734" s="8"/>
      <c r="S734" s="17"/>
      <c r="T734" s="17"/>
    </row>
    <row r="735" spans="1:20" ht="13.5" customHeight="1" x14ac:dyDescent="0.2">
      <c r="A735" s="8"/>
      <c r="S735" s="17"/>
      <c r="T735" s="17"/>
    </row>
    <row r="736" spans="1:20" ht="13.5" customHeight="1" x14ac:dyDescent="0.2">
      <c r="A736" s="8"/>
      <c r="S736" s="17"/>
      <c r="T736" s="17"/>
    </row>
    <row r="737" spans="1:20" ht="13.5" customHeight="1" x14ac:dyDescent="0.2">
      <c r="A737" s="8"/>
      <c r="S737" s="17"/>
      <c r="T737" s="17"/>
    </row>
    <row r="738" spans="1:20" ht="13.5" customHeight="1" x14ac:dyDescent="0.2">
      <c r="A738" s="8"/>
      <c r="S738" s="17"/>
      <c r="T738" s="17"/>
    </row>
    <row r="739" spans="1:20" ht="13.5" customHeight="1" x14ac:dyDescent="0.2">
      <c r="A739" s="8"/>
      <c r="S739" s="17"/>
      <c r="T739" s="17"/>
    </row>
    <row r="740" spans="1:20" ht="13.5" customHeight="1" x14ac:dyDescent="0.2">
      <c r="A740" s="8"/>
      <c r="S740" s="17"/>
      <c r="T740" s="17"/>
    </row>
    <row r="741" spans="1:20" ht="13.5" customHeight="1" x14ac:dyDescent="0.2">
      <c r="A741" s="8"/>
      <c r="S741" s="17"/>
      <c r="T741" s="17"/>
    </row>
    <row r="742" spans="1:20" ht="13.5" customHeight="1" x14ac:dyDescent="0.2">
      <c r="A742" s="8"/>
      <c r="S742" s="17"/>
      <c r="T742" s="17"/>
    </row>
    <row r="743" spans="1:20" ht="13.5" customHeight="1" x14ac:dyDescent="0.2">
      <c r="A743" s="8"/>
      <c r="S743" s="17"/>
      <c r="T743" s="17"/>
    </row>
    <row r="744" spans="1:20" ht="13.5" customHeight="1" x14ac:dyDescent="0.2">
      <c r="A744" s="8"/>
      <c r="S744" s="17"/>
      <c r="T744" s="17"/>
    </row>
    <row r="745" spans="1:20" ht="13.5" customHeight="1" x14ac:dyDescent="0.2">
      <c r="A745" s="8"/>
      <c r="S745" s="17"/>
      <c r="T745" s="17"/>
    </row>
    <row r="746" spans="1:20" ht="13.5" customHeight="1" x14ac:dyDescent="0.2">
      <c r="A746" s="8"/>
      <c r="S746" s="17"/>
      <c r="T746" s="17"/>
    </row>
    <row r="747" spans="1:20" ht="13.5" customHeight="1" x14ac:dyDescent="0.2">
      <c r="A747" s="8"/>
      <c r="S747" s="17"/>
      <c r="T747" s="17"/>
    </row>
    <row r="748" spans="1:20" ht="13.5" customHeight="1" x14ac:dyDescent="0.2">
      <c r="A748" s="8"/>
      <c r="S748" s="17"/>
      <c r="T748" s="17"/>
    </row>
    <row r="749" spans="1:20" ht="13.5" customHeight="1" x14ac:dyDescent="0.2">
      <c r="A749" s="8"/>
      <c r="S749" s="17"/>
      <c r="T749" s="17"/>
    </row>
    <row r="750" spans="1:20" ht="13.5" customHeight="1" x14ac:dyDescent="0.2">
      <c r="A750" s="8"/>
      <c r="S750" s="17"/>
      <c r="T750" s="17"/>
    </row>
    <row r="751" spans="1:20" ht="13.5" customHeight="1" x14ac:dyDescent="0.2">
      <c r="A751" s="8"/>
      <c r="S751" s="17"/>
      <c r="T751" s="17"/>
    </row>
    <row r="752" spans="1:20" ht="13.5" customHeight="1" x14ac:dyDescent="0.2">
      <c r="A752" s="8"/>
      <c r="S752" s="17"/>
      <c r="T752" s="17"/>
    </row>
    <row r="753" spans="1:20" ht="13.5" customHeight="1" x14ac:dyDescent="0.2">
      <c r="A753" s="8"/>
      <c r="S753" s="17"/>
      <c r="T753" s="17"/>
    </row>
    <row r="754" spans="1:20" ht="13.5" customHeight="1" x14ac:dyDescent="0.2">
      <c r="A754" s="8"/>
      <c r="S754" s="17"/>
      <c r="T754" s="17"/>
    </row>
    <row r="755" spans="1:20" ht="13.5" customHeight="1" x14ac:dyDescent="0.2">
      <c r="A755" s="8"/>
      <c r="S755" s="17"/>
      <c r="T755" s="17"/>
    </row>
    <row r="756" spans="1:20" ht="13.5" customHeight="1" x14ac:dyDescent="0.2">
      <c r="A756" s="8"/>
      <c r="S756" s="17"/>
      <c r="T756" s="17"/>
    </row>
    <row r="757" spans="1:20" ht="13.5" customHeight="1" x14ac:dyDescent="0.2">
      <c r="A757" s="8"/>
      <c r="S757" s="17"/>
      <c r="T757" s="17"/>
    </row>
    <row r="758" spans="1:20" ht="13.5" customHeight="1" x14ac:dyDescent="0.2">
      <c r="A758" s="8"/>
      <c r="S758" s="17"/>
      <c r="T758" s="17"/>
    </row>
    <row r="759" spans="1:20" ht="13.5" customHeight="1" x14ac:dyDescent="0.2">
      <c r="A759" s="8"/>
      <c r="S759" s="17"/>
      <c r="T759" s="17"/>
    </row>
    <row r="760" spans="1:20" ht="13.5" customHeight="1" x14ac:dyDescent="0.2">
      <c r="A760" s="8"/>
      <c r="S760" s="17"/>
      <c r="T760" s="17"/>
    </row>
    <row r="761" spans="1:20" ht="13.5" customHeight="1" x14ac:dyDescent="0.2">
      <c r="A761" s="8"/>
      <c r="S761" s="17"/>
      <c r="T761" s="17"/>
    </row>
    <row r="762" spans="1:20" ht="13.5" customHeight="1" x14ac:dyDescent="0.2">
      <c r="A762" s="8"/>
      <c r="S762" s="17"/>
      <c r="T762" s="17"/>
    </row>
    <row r="763" spans="1:20" ht="13.5" customHeight="1" x14ac:dyDescent="0.2">
      <c r="A763" s="8"/>
      <c r="S763" s="17"/>
      <c r="T763" s="17"/>
    </row>
    <row r="764" spans="1:20" ht="13.5" customHeight="1" x14ac:dyDescent="0.2">
      <c r="A764" s="8"/>
      <c r="S764" s="17"/>
      <c r="T764" s="17"/>
    </row>
    <row r="765" spans="1:20" ht="13.5" customHeight="1" x14ac:dyDescent="0.2">
      <c r="A765" s="8"/>
      <c r="S765" s="17"/>
      <c r="T765" s="17"/>
    </row>
    <row r="766" spans="1:20" ht="13.5" customHeight="1" x14ac:dyDescent="0.2">
      <c r="A766" s="8"/>
      <c r="S766" s="17"/>
      <c r="T766" s="17"/>
    </row>
    <row r="767" spans="1:20" ht="13.5" customHeight="1" x14ac:dyDescent="0.2">
      <c r="A767" s="8"/>
      <c r="S767" s="17"/>
      <c r="T767" s="17"/>
    </row>
    <row r="768" spans="1:20" ht="13.5" customHeight="1" x14ac:dyDescent="0.2">
      <c r="A768" s="8"/>
      <c r="S768" s="17"/>
      <c r="T768" s="17"/>
    </row>
    <row r="769" spans="1:20" ht="13.5" customHeight="1" x14ac:dyDescent="0.2">
      <c r="A769" s="8"/>
      <c r="S769" s="17"/>
      <c r="T769" s="17"/>
    </row>
    <row r="770" spans="1:20" ht="13.5" customHeight="1" x14ac:dyDescent="0.2">
      <c r="A770" s="8"/>
      <c r="S770" s="17"/>
      <c r="T770" s="17"/>
    </row>
    <row r="771" spans="1:20" ht="13.5" customHeight="1" x14ac:dyDescent="0.2">
      <c r="A771" s="8"/>
      <c r="S771" s="17"/>
      <c r="T771" s="17"/>
    </row>
    <row r="772" spans="1:20" ht="13.5" customHeight="1" x14ac:dyDescent="0.2">
      <c r="A772" s="8"/>
      <c r="S772" s="17"/>
      <c r="T772" s="17"/>
    </row>
    <row r="773" spans="1:20" ht="13.5" customHeight="1" x14ac:dyDescent="0.2">
      <c r="A773" s="8"/>
      <c r="S773" s="17"/>
      <c r="T773" s="17"/>
    </row>
    <row r="774" spans="1:20" ht="13.5" customHeight="1" x14ac:dyDescent="0.2">
      <c r="A774" s="8"/>
      <c r="S774" s="17"/>
      <c r="T774" s="17"/>
    </row>
    <row r="775" spans="1:20" ht="13.5" customHeight="1" x14ac:dyDescent="0.2">
      <c r="A775" s="8"/>
      <c r="S775" s="17"/>
      <c r="T775" s="17"/>
    </row>
    <row r="776" spans="1:20" ht="13.5" customHeight="1" x14ac:dyDescent="0.2">
      <c r="A776" s="8"/>
      <c r="S776" s="17"/>
      <c r="T776" s="17"/>
    </row>
    <row r="777" spans="1:20" ht="13.5" customHeight="1" x14ac:dyDescent="0.2">
      <c r="A777" s="8"/>
      <c r="S777" s="17"/>
      <c r="T777" s="17"/>
    </row>
    <row r="778" spans="1:20" ht="13.5" customHeight="1" x14ac:dyDescent="0.2">
      <c r="A778" s="8"/>
      <c r="S778" s="17"/>
      <c r="T778" s="17"/>
    </row>
    <row r="779" spans="1:20" ht="13.5" customHeight="1" x14ac:dyDescent="0.2">
      <c r="A779" s="8"/>
      <c r="S779" s="17"/>
      <c r="T779" s="17"/>
    </row>
    <row r="780" spans="1:20" ht="13.5" customHeight="1" x14ac:dyDescent="0.2">
      <c r="A780" s="8"/>
      <c r="S780" s="17"/>
      <c r="T780" s="17"/>
    </row>
    <row r="781" spans="1:20" ht="13.5" customHeight="1" x14ac:dyDescent="0.2">
      <c r="A781" s="8"/>
      <c r="S781" s="17"/>
      <c r="T781" s="17"/>
    </row>
    <row r="782" spans="1:20" ht="13.5" customHeight="1" x14ac:dyDescent="0.2">
      <c r="A782" s="8"/>
      <c r="S782" s="17"/>
      <c r="T782" s="17"/>
    </row>
    <row r="783" spans="1:20" ht="13.5" customHeight="1" x14ac:dyDescent="0.2">
      <c r="A783" s="8"/>
      <c r="S783" s="17"/>
      <c r="T783" s="17"/>
    </row>
    <row r="784" spans="1:20" ht="13.5" customHeight="1" x14ac:dyDescent="0.2">
      <c r="A784" s="8"/>
      <c r="S784" s="17"/>
      <c r="T784" s="17"/>
    </row>
    <row r="785" spans="1:20" ht="13.5" customHeight="1" x14ac:dyDescent="0.2">
      <c r="A785" s="8"/>
      <c r="S785" s="17"/>
      <c r="T785" s="17"/>
    </row>
    <row r="786" spans="1:20" ht="13.5" customHeight="1" x14ac:dyDescent="0.2">
      <c r="A786" s="8"/>
      <c r="S786" s="17"/>
      <c r="T786" s="17"/>
    </row>
    <row r="787" spans="1:20" ht="13.5" customHeight="1" x14ac:dyDescent="0.2">
      <c r="A787" s="8"/>
      <c r="S787" s="17"/>
      <c r="T787" s="17"/>
    </row>
    <row r="788" spans="1:20" ht="13.5" customHeight="1" x14ac:dyDescent="0.2">
      <c r="A788" s="8"/>
      <c r="S788" s="17"/>
      <c r="T788" s="17"/>
    </row>
    <row r="789" spans="1:20" ht="13.5" customHeight="1" x14ac:dyDescent="0.2">
      <c r="A789" s="8"/>
      <c r="S789" s="17"/>
      <c r="T789" s="17"/>
    </row>
    <row r="790" spans="1:20" ht="13.5" customHeight="1" x14ac:dyDescent="0.2">
      <c r="A790" s="8"/>
      <c r="S790" s="17"/>
      <c r="T790" s="17"/>
    </row>
    <row r="791" spans="1:20" ht="13.5" customHeight="1" x14ac:dyDescent="0.2">
      <c r="A791" s="8"/>
      <c r="S791" s="17"/>
      <c r="T791" s="17"/>
    </row>
    <row r="792" spans="1:20" ht="13.5" customHeight="1" x14ac:dyDescent="0.2">
      <c r="A792" s="8"/>
      <c r="S792" s="17"/>
      <c r="T792" s="17"/>
    </row>
    <row r="793" spans="1:20" ht="13.5" customHeight="1" x14ac:dyDescent="0.2">
      <c r="A793" s="8"/>
      <c r="S793" s="17"/>
      <c r="T793" s="17"/>
    </row>
    <row r="794" spans="1:20" ht="13.5" customHeight="1" x14ac:dyDescent="0.2">
      <c r="A794" s="8"/>
      <c r="S794" s="17"/>
      <c r="T794" s="17"/>
    </row>
    <row r="795" spans="1:20" ht="13.5" customHeight="1" x14ac:dyDescent="0.2">
      <c r="A795" s="8"/>
      <c r="S795" s="17"/>
      <c r="T795" s="17"/>
    </row>
    <row r="796" spans="1:20" ht="13.5" customHeight="1" x14ac:dyDescent="0.2">
      <c r="A796" s="8"/>
      <c r="S796" s="17"/>
      <c r="T796" s="17"/>
    </row>
    <row r="797" spans="1:20" ht="13.5" customHeight="1" x14ac:dyDescent="0.2">
      <c r="A797" s="8"/>
      <c r="S797" s="17"/>
      <c r="T797" s="17"/>
    </row>
    <row r="798" spans="1:20" ht="13.5" customHeight="1" x14ac:dyDescent="0.2">
      <c r="A798" s="8"/>
      <c r="S798" s="17"/>
      <c r="T798" s="17"/>
    </row>
    <row r="799" spans="1:20" ht="13.5" customHeight="1" x14ac:dyDescent="0.2">
      <c r="A799" s="8"/>
      <c r="S799" s="17"/>
      <c r="T799" s="17"/>
    </row>
    <row r="800" spans="1:20" ht="13.5" customHeight="1" x14ac:dyDescent="0.2">
      <c r="A800" s="8"/>
      <c r="S800" s="17"/>
      <c r="T800" s="17"/>
    </row>
    <row r="801" spans="1:20" ht="13.5" customHeight="1" x14ac:dyDescent="0.2">
      <c r="A801" s="8"/>
      <c r="S801" s="17"/>
      <c r="T801" s="17"/>
    </row>
    <row r="802" spans="1:20" ht="13.5" customHeight="1" x14ac:dyDescent="0.2">
      <c r="A802" s="8"/>
      <c r="S802" s="17"/>
      <c r="T802" s="17"/>
    </row>
    <row r="803" spans="1:20" ht="13.5" customHeight="1" x14ac:dyDescent="0.2">
      <c r="A803" s="8"/>
      <c r="S803" s="17"/>
      <c r="T803" s="17"/>
    </row>
    <row r="804" spans="1:20" ht="13.5" customHeight="1" x14ac:dyDescent="0.2">
      <c r="A804" s="8"/>
      <c r="S804" s="17"/>
      <c r="T804" s="17"/>
    </row>
    <row r="805" spans="1:20" ht="13.5" customHeight="1" x14ac:dyDescent="0.2">
      <c r="A805" s="8"/>
      <c r="S805" s="17"/>
      <c r="T805" s="17"/>
    </row>
    <row r="806" spans="1:20" ht="13.5" customHeight="1" x14ac:dyDescent="0.2">
      <c r="A806" s="8"/>
      <c r="S806" s="17"/>
      <c r="T806" s="17"/>
    </row>
    <row r="807" spans="1:20" ht="13.5" customHeight="1" x14ac:dyDescent="0.2">
      <c r="A807" s="8"/>
      <c r="S807" s="17"/>
      <c r="T807" s="17"/>
    </row>
    <row r="808" spans="1:20" ht="13.5" customHeight="1" x14ac:dyDescent="0.2">
      <c r="A808" s="8"/>
      <c r="S808" s="17"/>
      <c r="T808" s="17"/>
    </row>
    <row r="809" spans="1:20" ht="13.5" customHeight="1" x14ac:dyDescent="0.2">
      <c r="A809" s="8"/>
      <c r="S809" s="17"/>
      <c r="T809" s="17"/>
    </row>
    <row r="810" spans="1:20" ht="13.5" customHeight="1" x14ac:dyDescent="0.2">
      <c r="A810" s="8"/>
      <c r="S810" s="17"/>
      <c r="T810" s="17"/>
    </row>
    <row r="811" spans="1:20" ht="13.5" customHeight="1" x14ac:dyDescent="0.2">
      <c r="A811" s="8"/>
      <c r="S811" s="17"/>
      <c r="T811" s="17"/>
    </row>
    <row r="812" spans="1:20" ht="13.5" customHeight="1" x14ac:dyDescent="0.2">
      <c r="A812" s="8"/>
      <c r="S812" s="17"/>
      <c r="T812" s="17"/>
    </row>
    <row r="813" spans="1:20" ht="13.5" customHeight="1" x14ac:dyDescent="0.2">
      <c r="A813" s="8"/>
      <c r="S813" s="17"/>
      <c r="T813" s="17"/>
    </row>
    <row r="814" spans="1:20" ht="13.5" customHeight="1" x14ac:dyDescent="0.2">
      <c r="A814" s="8"/>
      <c r="S814" s="17"/>
      <c r="T814" s="17"/>
    </row>
    <row r="815" spans="1:20" ht="13.5" customHeight="1" x14ac:dyDescent="0.2">
      <c r="A815" s="8"/>
      <c r="S815" s="17"/>
      <c r="T815" s="17"/>
    </row>
    <row r="816" spans="1:20" ht="13.5" customHeight="1" x14ac:dyDescent="0.2">
      <c r="A816" s="8"/>
      <c r="S816" s="17"/>
      <c r="T816" s="17"/>
    </row>
    <row r="817" spans="1:20" ht="13.5" customHeight="1" x14ac:dyDescent="0.2">
      <c r="A817" s="8"/>
      <c r="S817" s="17"/>
      <c r="T817" s="17"/>
    </row>
    <row r="818" spans="1:20" ht="13.5" customHeight="1" x14ac:dyDescent="0.2">
      <c r="A818" s="8"/>
      <c r="S818" s="17"/>
      <c r="T818" s="17"/>
    </row>
    <row r="819" spans="1:20" ht="13.5" customHeight="1" x14ac:dyDescent="0.2">
      <c r="A819" s="8"/>
      <c r="S819" s="17"/>
      <c r="T819" s="17"/>
    </row>
    <row r="820" spans="1:20" ht="13.5" customHeight="1" x14ac:dyDescent="0.2">
      <c r="A820" s="8"/>
      <c r="S820" s="17"/>
      <c r="T820" s="17"/>
    </row>
    <row r="821" spans="1:20" ht="13.5" customHeight="1" x14ac:dyDescent="0.2">
      <c r="A821" s="8"/>
      <c r="S821" s="17"/>
      <c r="T821" s="17"/>
    </row>
    <row r="822" spans="1:20" ht="13.5" customHeight="1" x14ac:dyDescent="0.2">
      <c r="A822" s="8"/>
      <c r="S822" s="17"/>
      <c r="T822" s="17"/>
    </row>
    <row r="823" spans="1:20" ht="13.5" customHeight="1" x14ac:dyDescent="0.2">
      <c r="A823" s="8"/>
      <c r="S823" s="17"/>
      <c r="T823" s="17"/>
    </row>
    <row r="824" spans="1:20" ht="13.5" customHeight="1" x14ac:dyDescent="0.2">
      <c r="A824" s="8"/>
      <c r="S824" s="17"/>
      <c r="T824" s="17"/>
    </row>
    <row r="825" spans="1:20" ht="13.5" customHeight="1" x14ac:dyDescent="0.2">
      <c r="A825" s="8"/>
      <c r="S825" s="17"/>
      <c r="T825" s="17"/>
    </row>
    <row r="826" spans="1:20" ht="13.5" customHeight="1" x14ac:dyDescent="0.2">
      <c r="A826" s="8"/>
      <c r="S826" s="17"/>
      <c r="T826" s="17"/>
    </row>
    <row r="827" spans="1:20" ht="13.5" customHeight="1" x14ac:dyDescent="0.2">
      <c r="A827" s="8"/>
      <c r="S827" s="17"/>
      <c r="T827" s="17"/>
    </row>
    <row r="828" spans="1:20" ht="13.5" customHeight="1" x14ac:dyDescent="0.2">
      <c r="A828" s="8"/>
      <c r="S828" s="17"/>
      <c r="T828" s="17"/>
    </row>
    <row r="829" spans="1:20" ht="13.5" customHeight="1" x14ac:dyDescent="0.2">
      <c r="A829" s="8"/>
      <c r="S829" s="17"/>
      <c r="T829" s="17"/>
    </row>
    <row r="830" spans="1:20" ht="13.5" customHeight="1" x14ac:dyDescent="0.2">
      <c r="A830" s="8"/>
      <c r="S830" s="17"/>
      <c r="T830" s="17"/>
    </row>
    <row r="831" spans="1:20" ht="13.5" customHeight="1" x14ac:dyDescent="0.2">
      <c r="A831" s="8"/>
      <c r="S831" s="17"/>
      <c r="T831" s="17"/>
    </row>
    <row r="832" spans="1:20" ht="13.5" customHeight="1" x14ac:dyDescent="0.2">
      <c r="A832" s="8"/>
      <c r="S832" s="17"/>
      <c r="T832" s="17"/>
    </row>
    <row r="833" spans="1:20" ht="13.5" customHeight="1" x14ac:dyDescent="0.2">
      <c r="A833" s="8"/>
      <c r="S833" s="17"/>
      <c r="T833" s="17"/>
    </row>
    <row r="834" spans="1:20" ht="13.5" customHeight="1" x14ac:dyDescent="0.2">
      <c r="A834" s="8"/>
      <c r="S834" s="17"/>
      <c r="T834" s="17"/>
    </row>
    <row r="835" spans="1:20" ht="13.5" customHeight="1" x14ac:dyDescent="0.2">
      <c r="A835" s="8"/>
      <c r="S835" s="17"/>
      <c r="T835" s="17"/>
    </row>
    <row r="836" spans="1:20" ht="13.5" customHeight="1" x14ac:dyDescent="0.2">
      <c r="A836" s="8"/>
      <c r="S836" s="17"/>
      <c r="T836" s="17"/>
    </row>
    <row r="837" spans="1:20" ht="13.5" customHeight="1" x14ac:dyDescent="0.2">
      <c r="A837" s="8"/>
      <c r="S837" s="17"/>
      <c r="T837" s="17"/>
    </row>
    <row r="838" spans="1:20" ht="13.5" customHeight="1" x14ac:dyDescent="0.2">
      <c r="A838" s="8"/>
      <c r="S838" s="17"/>
      <c r="T838" s="17"/>
    </row>
    <row r="839" spans="1:20" ht="13.5" customHeight="1" x14ac:dyDescent="0.2">
      <c r="A839" s="8"/>
      <c r="S839" s="17"/>
      <c r="T839" s="17"/>
    </row>
    <row r="840" spans="1:20" ht="13.5" customHeight="1" x14ac:dyDescent="0.2">
      <c r="A840" s="8"/>
      <c r="S840" s="17"/>
      <c r="T840" s="17"/>
    </row>
    <row r="841" spans="1:20" ht="13.5" customHeight="1" x14ac:dyDescent="0.2">
      <c r="A841" s="8"/>
      <c r="S841" s="17"/>
      <c r="T841" s="17"/>
    </row>
    <row r="842" spans="1:20" ht="13.5" customHeight="1" x14ac:dyDescent="0.2">
      <c r="A842" s="8"/>
      <c r="S842" s="17"/>
      <c r="T842" s="17"/>
    </row>
    <row r="843" spans="1:20" ht="13.5" customHeight="1" x14ac:dyDescent="0.2">
      <c r="A843" s="8"/>
      <c r="S843" s="17"/>
      <c r="T843" s="17"/>
    </row>
    <row r="844" spans="1:20" ht="13.5" customHeight="1" x14ac:dyDescent="0.2">
      <c r="A844" s="8"/>
      <c r="S844" s="17"/>
      <c r="T844" s="17"/>
    </row>
    <row r="845" spans="1:20" ht="13.5" customHeight="1" x14ac:dyDescent="0.2">
      <c r="A845" s="8"/>
      <c r="S845" s="17"/>
      <c r="T845" s="17"/>
    </row>
    <row r="846" spans="1:20" ht="13.5" customHeight="1" x14ac:dyDescent="0.2">
      <c r="A846" s="8"/>
      <c r="S846" s="17"/>
      <c r="T846" s="17"/>
    </row>
    <row r="847" spans="1:20" ht="13.5" customHeight="1" x14ac:dyDescent="0.2">
      <c r="A847" s="8"/>
      <c r="S847" s="17"/>
      <c r="T847" s="17"/>
    </row>
    <row r="848" spans="1:20" ht="13.5" customHeight="1" x14ac:dyDescent="0.2">
      <c r="A848" s="8"/>
      <c r="S848" s="17"/>
      <c r="T848" s="17"/>
    </row>
    <row r="849" spans="1:20" ht="13.5" customHeight="1" x14ac:dyDescent="0.2">
      <c r="A849" s="8"/>
      <c r="S849" s="17"/>
      <c r="T849" s="17"/>
    </row>
    <row r="850" spans="1:20" ht="13.5" customHeight="1" x14ac:dyDescent="0.2">
      <c r="A850" s="8"/>
      <c r="S850" s="17"/>
      <c r="T850" s="17"/>
    </row>
    <row r="851" spans="1:20" ht="13.5" customHeight="1" x14ac:dyDescent="0.2">
      <c r="A851" s="8"/>
      <c r="S851" s="17"/>
      <c r="T851" s="17"/>
    </row>
    <row r="852" spans="1:20" ht="13.5" customHeight="1" x14ac:dyDescent="0.2">
      <c r="A852" s="8"/>
      <c r="S852" s="17"/>
      <c r="T852" s="17"/>
    </row>
    <row r="853" spans="1:20" ht="13.5" customHeight="1" x14ac:dyDescent="0.2">
      <c r="A853" s="8"/>
      <c r="S853" s="17"/>
      <c r="T853" s="17"/>
    </row>
    <row r="854" spans="1:20" ht="13.5" customHeight="1" x14ac:dyDescent="0.2">
      <c r="A854" s="8"/>
      <c r="S854" s="17"/>
      <c r="T854" s="17"/>
    </row>
    <row r="855" spans="1:20" ht="13.5" customHeight="1" x14ac:dyDescent="0.2">
      <c r="A855" s="8"/>
      <c r="S855" s="17"/>
      <c r="T855" s="17"/>
    </row>
    <row r="856" spans="1:20" ht="13.5" customHeight="1" x14ac:dyDescent="0.2">
      <c r="A856" s="8"/>
      <c r="S856" s="17"/>
      <c r="T856" s="17"/>
    </row>
    <row r="857" spans="1:20" ht="13.5" customHeight="1" x14ac:dyDescent="0.2">
      <c r="A857" s="8"/>
      <c r="S857" s="17"/>
      <c r="T857" s="17"/>
    </row>
    <row r="858" spans="1:20" ht="13.5" customHeight="1" x14ac:dyDescent="0.2">
      <c r="A858" s="8"/>
      <c r="S858" s="17"/>
      <c r="T858" s="17"/>
    </row>
    <row r="859" spans="1:20" ht="13.5" customHeight="1" x14ac:dyDescent="0.2">
      <c r="A859" s="8"/>
      <c r="S859" s="17"/>
      <c r="T859" s="17"/>
    </row>
    <row r="860" spans="1:20" ht="13.5" customHeight="1" x14ac:dyDescent="0.2">
      <c r="A860" s="8"/>
      <c r="S860" s="17"/>
      <c r="T860" s="17"/>
    </row>
    <row r="861" spans="1:20" ht="13.5" customHeight="1" x14ac:dyDescent="0.2">
      <c r="A861" s="8"/>
      <c r="S861" s="17"/>
      <c r="T861" s="17"/>
    </row>
    <row r="862" spans="1:20" ht="13.5" customHeight="1" x14ac:dyDescent="0.2">
      <c r="A862" s="8"/>
      <c r="S862" s="17"/>
      <c r="T862" s="17"/>
    </row>
    <row r="863" spans="1:20" ht="13.5" customHeight="1" x14ac:dyDescent="0.2">
      <c r="A863" s="8"/>
      <c r="S863" s="17"/>
      <c r="T863" s="17"/>
    </row>
    <row r="864" spans="1:20" ht="13.5" customHeight="1" x14ac:dyDescent="0.2">
      <c r="A864" s="8"/>
      <c r="S864" s="17"/>
      <c r="T864" s="17"/>
    </row>
    <row r="865" spans="1:20" ht="13.5" customHeight="1" x14ac:dyDescent="0.2">
      <c r="A865" s="8"/>
      <c r="S865" s="17"/>
      <c r="T865" s="17"/>
    </row>
    <row r="866" spans="1:20" ht="13.5" customHeight="1" x14ac:dyDescent="0.2">
      <c r="A866" s="8"/>
      <c r="S866" s="17"/>
      <c r="T866" s="17"/>
    </row>
    <row r="867" spans="1:20" ht="13.5" customHeight="1" x14ac:dyDescent="0.2">
      <c r="A867" s="8"/>
      <c r="S867" s="17"/>
      <c r="T867" s="17"/>
    </row>
    <row r="868" spans="1:20" ht="13.5" customHeight="1" x14ac:dyDescent="0.2">
      <c r="A868" s="8"/>
      <c r="S868" s="17"/>
      <c r="T868" s="17"/>
    </row>
    <row r="869" spans="1:20" ht="13.5" customHeight="1" x14ac:dyDescent="0.2">
      <c r="A869" s="8"/>
      <c r="S869" s="17"/>
      <c r="T869" s="17"/>
    </row>
    <row r="870" spans="1:20" ht="13.5" customHeight="1" x14ac:dyDescent="0.2">
      <c r="A870" s="8"/>
      <c r="S870" s="17"/>
      <c r="T870" s="17"/>
    </row>
    <row r="871" spans="1:20" ht="13.5" customHeight="1" x14ac:dyDescent="0.2">
      <c r="A871" s="8"/>
      <c r="S871" s="17"/>
      <c r="T871" s="17"/>
    </row>
    <row r="872" spans="1:20" ht="13.5" customHeight="1" x14ac:dyDescent="0.2">
      <c r="A872" s="8"/>
      <c r="S872" s="17"/>
      <c r="T872" s="17"/>
    </row>
    <row r="873" spans="1:20" ht="13.5" customHeight="1" x14ac:dyDescent="0.2">
      <c r="A873" s="8"/>
      <c r="S873" s="17"/>
      <c r="T873" s="17"/>
    </row>
    <row r="874" spans="1:20" ht="13.5" customHeight="1" x14ac:dyDescent="0.2">
      <c r="A874" s="8"/>
      <c r="S874" s="17"/>
      <c r="T874" s="17"/>
    </row>
    <row r="875" spans="1:20" ht="13.5" customHeight="1" x14ac:dyDescent="0.2">
      <c r="A875" s="8"/>
      <c r="S875" s="17"/>
      <c r="T875" s="17"/>
    </row>
    <row r="876" spans="1:20" ht="13.5" customHeight="1" x14ac:dyDescent="0.2">
      <c r="A876" s="8"/>
      <c r="S876" s="17"/>
      <c r="T876" s="17"/>
    </row>
    <row r="877" spans="1:20" ht="13.5" customHeight="1" x14ac:dyDescent="0.2">
      <c r="A877" s="8"/>
      <c r="S877" s="17"/>
      <c r="T877" s="17"/>
    </row>
    <row r="878" spans="1:20" ht="13.5" customHeight="1" x14ac:dyDescent="0.2">
      <c r="A878" s="8"/>
      <c r="S878" s="17"/>
      <c r="T878" s="17"/>
    </row>
    <row r="879" spans="1:20" ht="13.5" customHeight="1" x14ac:dyDescent="0.2">
      <c r="A879" s="8"/>
      <c r="S879" s="17"/>
      <c r="T879" s="17"/>
    </row>
    <row r="880" spans="1:20" ht="13.5" customHeight="1" x14ac:dyDescent="0.2">
      <c r="A880" s="8"/>
      <c r="S880" s="17"/>
      <c r="T880" s="17"/>
    </row>
    <row r="881" spans="1:20" ht="13.5" customHeight="1" x14ac:dyDescent="0.2">
      <c r="A881" s="8"/>
      <c r="S881" s="17"/>
      <c r="T881" s="17"/>
    </row>
    <row r="882" spans="1:20" ht="13.5" customHeight="1" x14ac:dyDescent="0.2">
      <c r="A882" s="8"/>
      <c r="S882" s="17"/>
      <c r="T882" s="17"/>
    </row>
    <row r="883" spans="1:20" ht="13.5" customHeight="1" x14ac:dyDescent="0.2">
      <c r="A883" s="8"/>
      <c r="S883" s="17"/>
      <c r="T883" s="17"/>
    </row>
    <row r="884" spans="1:20" ht="13.5" customHeight="1" x14ac:dyDescent="0.2">
      <c r="A884" s="8"/>
      <c r="S884" s="17"/>
      <c r="T884" s="17"/>
    </row>
    <row r="885" spans="1:20" ht="13.5" customHeight="1" x14ac:dyDescent="0.2">
      <c r="A885" s="8"/>
      <c r="S885" s="17"/>
      <c r="T885" s="17"/>
    </row>
    <row r="886" spans="1:20" ht="13.5" customHeight="1" x14ac:dyDescent="0.2">
      <c r="A886" s="8"/>
      <c r="S886" s="17"/>
      <c r="T886" s="17"/>
    </row>
    <row r="887" spans="1:20" ht="13.5" customHeight="1" x14ac:dyDescent="0.2">
      <c r="A887" s="8"/>
      <c r="S887" s="17"/>
      <c r="T887" s="17"/>
    </row>
    <row r="888" spans="1:20" ht="13.5" customHeight="1" x14ac:dyDescent="0.2">
      <c r="A888" s="8"/>
      <c r="S888" s="17"/>
      <c r="T888" s="17"/>
    </row>
    <row r="889" spans="1:20" ht="13.5" customHeight="1" x14ac:dyDescent="0.2">
      <c r="A889" s="8"/>
      <c r="S889" s="17"/>
      <c r="T889" s="17"/>
    </row>
    <row r="890" spans="1:20" ht="13.5" customHeight="1" x14ac:dyDescent="0.2">
      <c r="A890" s="8"/>
      <c r="S890" s="17"/>
      <c r="T890" s="17"/>
    </row>
    <row r="891" spans="1:20" ht="13.5" customHeight="1" x14ac:dyDescent="0.2">
      <c r="A891" s="8"/>
      <c r="S891" s="17"/>
      <c r="T891" s="17"/>
    </row>
    <row r="892" spans="1:20" ht="13.5" customHeight="1" x14ac:dyDescent="0.2">
      <c r="A892" s="8"/>
      <c r="S892" s="17"/>
      <c r="T892" s="17"/>
    </row>
    <row r="893" spans="1:20" ht="13.5" customHeight="1" x14ac:dyDescent="0.2">
      <c r="A893" s="8"/>
      <c r="S893" s="17"/>
      <c r="T893" s="17"/>
    </row>
    <row r="894" spans="1:20" ht="13.5" customHeight="1" x14ac:dyDescent="0.2">
      <c r="A894" s="8"/>
      <c r="S894" s="17"/>
      <c r="T894" s="17"/>
    </row>
    <row r="895" spans="1:20" ht="13.5" customHeight="1" x14ac:dyDescent="0.2">
      <c r="A895" s="8"/>
      <c r="S895" s="17"/>
      <c r="T895" s="17"/>
    </row>
    <row r="896" spans="1:20" ht="13.5" customHeight="1" x14ac:dyDescent="0.2">
      <c r="A896" s="8"/>
      <c r="S896" s="17"/>
      <c r="T896" s="17"/>
    </row>
    <row r="897" spans="1:20" ht="13.5" customHeight="1" x14ac:dyDescent="0.2">
      <c r="A897" s="8"/>
      <c r="S897" s="17"/>
      <c r="T897" s="17"/>
    </row>
    <row r="898" spans="1:20" ht="13.5" customHeight="1" x14ac:dyDescent="0.2">
      <c r="A898" s="8"/>
      <c r="S898" s="17"/>
      <c r="T898" s="17"/>
    </row>
    <row r="899" spans="1:20" ht="13.5" customHeight="1" x14ac:dyDescent="0.2">
      <c r="A899" s="8"/>
      <c r="S899" s="17"/>
      <c r="T899" s="17"/>
    </row>
    <row r="900" spans="1:20" ht="13.5" customHeight="1" x14ac:dyDescent="0.2">
      <c r="A900" s="8"/>
      <c r="S900" s="17"/>
      <c r="T900" s="17"/>
    </row>
    <row r="901" spans="1:20" ht="13.5" customHeight="1" x14ac:dyDescent="0.2">
      <c r="A901" s="8"/>
      <c r="S901" s="17"/>
      <c r="T901" s="17"/>
    </row>
    <row r="902" spans="1:20" ht="13.5" customHeight="1" x14ac:dyDescent="0.2">
      <c r="A902" s="8"/>
      <c r="S902" s="17"/>
      <c r="T902" s="17"/>
    </row>
    <row r="903" spans="1:20" ht="13.5" customHeight="1" x14ac:dyDescent="0.2">
      <c r="A903" s="8"/>
      <c r="S903" s="17"/>
      <c r="T903" s="17"/>
    </row>
    <row r="904" spans="1:20" ht="13.5" customHeight="1" x14ac:dyDescent="0.2">
      <c r="A904" s="8"/>
      <c r="S904" s="17"/>
      <c r="T904" s="17"/>
    </row>
    <row r="905" spans="1:20" ht="13.5" customHeight="1" x14ac:dyDescent="0.2">
      <c r="A905" s="8"/>
      <c r="S905" s="17"/>
      <c r="T905" s="17"/>
    </row>
    <row r="906" spans="1:20" ht="13.5" customHeight="1" x14ac:dyDescent="0.2">
      <c r="A906" s="8"/>
      <c r="S906" s="17"/>
      <c r="T906" s="17"/>
    </row>
    <row r="907" spans="1:20" ht="13.5" customHeight="1" x14ac:dyDescent="0.2">
      <c r="A907" s="8"/>
      <c r="S907" s="17"/>
      <c r="T907" s="17"/>
    </row>
    <row r="908" spans="1:20" ht="13.5" customHeight="1" x14ac:dyDescent="0.2">
      <c r="A908" s="8"/>
      <c r="S908" s="17"/>
      <c r="T908" s="17"/>
    </row>
    <row r="909" spans="1:20" ht="13.5" customHeight="1" x14ac:dyDescent="0.2">
      <c r="A909" s="8"/>
      <c r="S909" s="17"/>
      <c r="T909" s="17"/>
    </row>
    <row r="910" spans="1:20" ht="13.5" customHeight="1" x14ac:dyDescent="0.2">
      <c r="A910" s="8"/>
      <c r="S910" s="17"/>
      <c r="T910" s="17"/>
    </row>
    <row r="911" spans="1:20" ht="13.5" customHeight="1" x14ac:dyDescent="0.2">
      <c r="A911" s="8"/>
      <c r="S911" s="17"/>
      <c r="T911" s="17"/>
    </row>
    <row r="912" spans="1:20" ht="13.5" customHeight="1" x14ac:dyDescent="0.2">
      <c r="A912" s="8"/>
      <c r="S912" s="17"/>
      <c r="T912" s="17"/>
    </row>
    <row r="913" spans="1:20" ht="13.5" customHeight="1" x14ac:dyDescent="0.2">
      <c r="A913" s="8"/>
      <c r="S913" s="17"/>
      <c r="T913" s="17"/>
    </row>
    <row r="914" spans="1:20" ht="13.5" customHeight="1" x14ac:dyDescent="0.2">
      <c r="A914" s="8"/>
      <c r="S914" s="17"/>
      <c r="T914" s="17"/>
    </row>
    <row r="915" spans="1:20" ht="13.5" customHeight="1" x14ac:dyDescent="0.2">
      <c r="A915" s="8"/>
      <c r="S915" s="17"/>
      <c r="T915" s="17"/>
    </row>
    <row r="916" spans="1:20" ht="13.5" customHeight="1" x14ac:dyDescent="0.2">
      <c r="A916" s="8"/>
      <c r="S916" s="17"/>
      <c r="T916" s="17"/>
    </row>
    <row r="917" spans="1:20" ht="13.5" customHeight="1" x14ac:dyDescent="0.2">
      <c r="A917" s="8"/>
      <c r="S917" s="17"/>
      <c r="T917" s="17"/>
    </row>
    <row r="918" spans="1:20" ht="13.5" customHeight="1" x14ac:dyDescent="0.2">
      <c r="A918" s="8"/>
      <c r="S918" s="17"/>
      <c r="T918" s="17"/>
    </row>
    <row r="919" spans="1:20" ht="13.5" customHeight="1" x14ac:dyDescent="0.2">
      <c r="A919" s="8"/>
      <c r="S919" s="17"/>
      <c r="T919" s="17"/>
    </row>
    <row r="920" spans="1:20" ht="13.5" customHeight="1" x14ac:dyDescent="0.2">
      <c r="A920" s="8"/>
      <c r="S920" s="17"/>
      <c r="T920" s="17"/>
    </row>
    <row r="921" spans="1:20" ht="13.5" customHeight="1" x14ac:dyDescent="0.2">
      <c r="A921" s="8"/>
      <c r="S921" s="17"/>
      <c r="T921" s="17"/>
    </row>
    <row r="922" spans="1:20" ht="13.5" customHeight="1" x14ac:dyDescent="0.2">
      <c r="A922" s="8"/>
      <c r="S922" s="17"/>
      <c r="T922" s="17"/>
    </row>
    <row r="923" spans="1:20" ht="13.5" customHeight="1" x14ac:dyDescent="0.2">
      <c r="A923" s="8"/>
      <c r="S923" s="17"/>
      <c r="T923" s="17"/>
    </row>
    <row r="924" spans="1:20" ht="13.5" customHeight="1" x14ac:dyDescent="0.2">
      <c r="A924" s="8"/>
      <c r="S924" s="17"/>
      <c r="T924" s="17"/>
    </row>
    <row r="925" spans="1:20" ht="13.5" customHeight="1" x14ac:dyDescent="0.2">
      <c r="A925" s="8"/>
      <c r="S925" s="17"/>
      <c r="T925" s="17"/>
    </row>
    <row r="926" spans="1:20" ht="13.5" customHeight="1" x14ac:dyDescent="0.2">
      <c r="A926" s="8"/>
      <c r="S926" s="17"/>
      <c r="T926" s="17"/>
    </row>
    <row r="927" spans="1:20" ht="13.5" customHeight="1" x14ac:dyDescent="0.2">
      <c r="A927" s="8"/>
      <c r="S927" s="17"/>
      <c r="T927" s="17"/>
    </row>
    <row r="928" spans="1:20" ht="13.5" customHeight="1" x14ac:dyDescent="0.2">
      <c r="A928" s="8"/>
      <c r="S928" s="17"/>
      <c r="T928" s="17"/>
    </row>
    <row r="929" spans="1:20" ht="13.5" customHeight="1" x14ac:dyDescent="0.2">
      <c r="A929" s="8"/>
      <c r="S929" s="17"/>
      <c r="T929" s="17"/>
    </row>
    <row r="930" spans="1:20" ht="13.5" customHeight="1" x14ac:dyDescent="0.2">
      <c r="A930" s="8"/>
      <c r="S930" s="17"/>
      <c r="T930" s="17"/>
    </row>
    <row r="931" spans="1:20" ht="13.5" customHeight="1" x14ac:dyDescent="0.2">
      <c r="A931" s="8"/>
      <c r="S931" s="17"/>
      <c r="T931" s="17"/>
    </row>
    <row r="932" spans="1:20" ht="13.5" customHeight="1" x14ac:dyDescent="0.2">
      <c r="A932" s="8"/>
      <c r="S932" s="17"/>
      <c r="T932" s="17"/>
    </row>
    <row r="933" spans="1:20" ht="13.5" customHeight="1" x14ac:dyDescent="0.2">
      <c r="A933" s="8"/>
      <c r="S933" s="17"/>
      <c r="T933" s="17"/>
    </row>
    <row r="934" spans="1:20" ht="13.5" customHeight="1" x14ac:dyDescent="0.2">
      <c r="A934" s="8"/>
      <c r="S934" s="17"/>
      <c r="T934" s="17"/>
    </row>
    <row r="935" spans="1:20" ht="13.5" customHeight="1" x14ac:dyDescent="0.2">
      <c r="A935" s="8"/>
      <c r="S935" s="17"/>
      <c r="T935" s="17"/>
    </row>
    <row r="936" spans="1:20" ht="13.5" customHeight="1" x14ac:dyDescent="0.2">
      <c r="A936" s="8"/>
      <c r="S936" s="17"/>
      <c r="T936" s="17"/>
    </row>
    <row r="937" spans="1:20" ht="13.5" customHeight="1" x14ac:dyDescent="0.2">
      <c r="A937" s="8"/>
      <c r="S937" s="17"/>
      <c r="T937" s="17"/>
    </row>
    <row r="938" spans="1:20" ht="13.5" customHeight="1" x14ac:dyDescent="0.2">
      <c r="A938" s="8"/>
      <c r="S938" s="17"/>
      <c r="T938" s="17"/>
    </row>
    <row r="939" spans="1:20" ht="13.5" customHeight="1" x14ac:dyDescent="0.2">
      <c r="A939" s="8"/>
      <c r="S939" s="17"/>
      <c r="T939" s="17"/>
    </row>
    <row r="940" spans="1:20" ht="13.5" customHeight="1" x14ac:dyDescent="0.2">
      <c r="A940" s="8"/>
      <c r="S940" s="17"/>
      <c r="T940" s="17"/>
    </row>
    <row r="941" spans="1:20" ht="13.5" customHeight="1" x14ac:dyDescent="0.2">
      <c r="A941" s="8"/>
      <c r="S941" s="17"/>
      <c r="T941" s="17"/>
    </row>
    <row r="942" spans="1:20" ht="13.5" customHeight="1" x14ac:dyDescent="0.2">
      <c r="A942" s="8"/>
      <c r="S942" s="17"/>
      <c r="T942" s="17"/>
    </row>
    <row r="943" spans="1:20" ht="13.5" customHeight="1" x14ac:dyDescent="0.2">
      <c r="A943" s="8"/>
      <c r="S943" s="17"/>
      <c r="T943" s="17"/>
    </row>
    <row r="944" spans="1:20" ht="13.5" customHeight="1" x14ac:dyDescent="0.2">
      <c r="A944" s="8"/>
      <c r="S944" s="17"/>
      <c r="T944" s="17"/>
    </row>
    <row r="945" spans="1:20" ht="13.5" customHeight="1" x14ac:dyDescent="0.2">
      <c r="A945" s="8"/>
      <c r="S945" s="17"/>
      <c r="T945" s="17"/>
    </row>
    <row r="946" spans="1:20" ht="13.5" customHeight="1" x14ac:dyDescent="0.2">
      <c r="A946" s="8"/>
      <c r="S946" s="17"/>
      <c r="T946" s="17"/>
    </row>
    <row r="947" spans="1:20" ht="13.5" customHeight="1" x14ac:dyDescent="0.2">
      <c r="A947" s="8"/>
      <c r="S947" s="17"/>
      <c r="T947" s="17"/>
    </row>
    <row r="948" spans="1:20" ht="13.5" customHeight="1" x14ac:dyDescent="0.2">
      <c r="A948" s="8"/>
      <c r="S948" s="17"/>
      <c r="T948" s="17"/>
    </row>
    <row r="949" spans="1:20" ht="13.5" customHeight="1" x14ac:dyDescent="0.2">
      <c r="A949" s="8"/>
      <c r="S949" s="17"/>
      <c r="T949" s="17"/>
    </row>
    <row r="950" spans="1:20" ht="13.5" customHeight="1" x14ac:dyDescent="0.2">
      <c r="A950" s="8"/>
      <c r="S950" s="17"/>
      <c r="T950" s="17"/>
    </row>
    <row r="951" spans="1:20" ht="13.5" customHeight="1" x14ac:dyDescent="0.2">
      <c r="A951" s="8"/>
      <c r="S951" s="17"/>
      <c r="T951" s="17"/>
    </row>
    <row r="952" spans="1:20" ht="13.5" customHeight="1" x14ac:dyDescent="0.2">
      <c r="A952" s="8"/>
      <c r="S952" s="17"/>
      <c r="T952" s="17"/>
    </row>
    <row r="953" spans="1:20" ht="13.5" customHeight="1" x14ac:dyDescent="0.2">
      <c r="A953" s="8"/>
      <c r="S953" s="17"/>
      <c r="T953" s="17"/>
    </row>
    <row r="954" spans="1:20" ht="13.5" customHeight="1" x14ac:dyDescent="0.2">
      <c r="A954" s="8"/>
      <c r="S954" s="17"/>
      <c r="T954" s="17"/>
    </row>
    <row r="955" spans="1:20" ht="13.5" customHeight="1" x14ac:dyDescent="0.2">
      <c r="A955" s="8"/>
      <c r="S955" s="17"/>
      <c r="T955" s="17"/>
    </row>
    <row r="956" spans="1:20" ht="13.5" customHeight="1" x14ac:dyDescent="0.2">
      <c r="A956" s="8"/>
      <c r="S956" s="17"/>
      <c r="T956" s="17"/>
    </row>
    <row r="957" spans="1:20" ht="13.5" customHeight="1" x14ac:dyDescent="0.2">
      <c r="A957" s="8"/>
      <c r="S957" s="17"/>
      <c r="T957" s="17"/>
    </row>
    <row r="958" spans="1:20" ht="13.5" customHeight="1" x14ac:dyDescent="0.2">
      <c r="A958" s="8"/>
      <c r="S958" s="17"/>
      <c r="T958" s="17"/>
    </row>
    <row r="959" spans="1:20" ht="13.5" customHeight="1" x14ac:dyDescent="0.2">
      <c r="A959" s="8"/>
      <c r="S959" s="17"/>
      <c r="T959" s="17"/>
    </row>
    <row r="960" spans="1:20" ht="13.5" customHeight="1" x14ac:dyDescent="0.2">
      <c r="A960" s="8"/>
      <c r="S960" s="17"/>
      <c r="T960" s="17"/>
    </row>
    <row r="961" spans="1:20" ht="13.5" customHeight="1" x14ac:dyDescent="0.2">
      <c r="A961" s="8"/>
      <c r="S961" s="17"/>
      <c r="T961" s="17"/>
    </row>
    <row r="962" spans="1:20" ht="13.5" customHeight="1" x14ac:dyDescent="0.2">
      <c r="A962" s="8"/>
      <c r="S962" s="17"/>
      <c r="T962" s="17"/>
    </row>
    <row r="963" spans="1:20" ht="13.5" customHeight="1" x14ac:dyDescent="0.2">
      <c r="A963" s="8"/>
      <c r="S963" s="17"/>
      <c r="T963" s="17"/>
    </row>
    <row r="964" spans="1:20" ht="13.5" customHeight="1" x14ac:dyDescent="0.2">
      <c r="A964" s="8"/>
      <c r="S964" s="17"/>
      <c r="T964" s="17"/>
    </row>
    <row r="965" spans="1:20" ht="13.5" customHeight="1" x14ac:dyDescent="0.2">
      <c r="A965" s="8"/>
      <c r="S965" s="17"/>
      <c r="T965" s="17"/>
    </row>
    <row r="966" spans="1:20" ht="13.5" customHeight="1" x14ac:dyDescent="0.2">
      <c r="A966" s="8"/>
      <c r="S966" s="17"/>
      <c r="T966" s="17"/>
    </row>
    <row r="967" spans="1:20" ht="13.5" customHeight="1" x14ac:dyDescent="0.2">
      <c r="A967" s="8"/>
      <c r="S967" s="17"/>
      <c r="T967" s="17"/>
    </row>
    <row r="968" spans="1:20" ht="13.5" customHeight="1" x14ac:dyDescent="0.2">
      <c r="A968" s="8"/>
      <c r="S968" s="17"/>
      <c r="T968" s="17"/>
    </row>
    <row r="969" spans="1:20" ht="13.5" customHeight="1" x14ac:dyDescent="0.2">
      <c r="A969" s="8"/>
      <c r="S969" s="17"/>
      <c r="T969" s="17"/>
    </row>
    <row r="970" spans="1:20" ht="13.5" customHeight="1" x14ac:dyDescent="0.2">
      <c r="A970" s="8"/>
      <c r="S970" s="17"/>
      <c r="T970" s="17"/>
    </row>
    <row r="971" spans="1:20" ht="13.5" customHeight="1" x14ac:dyDescent="0.2">
      <c r="A971" s="8"/>
      <c r="S971" s="17"/>
      <c r="T971" s="17"/>
    </row>
    <row r="972" spans="1:20" ht="13.5" customHeight="1" x14ac:dyDescent="0.2">
      <c r="A972" s="8"/>
      <c r="S972" s="17"/>
      <c r="T972" s="17"/>
    </row>
    <row r="973" spans="1:20" ht="13.5" customHeight="1" x14ac:dyDescent="0.2">
      <c r="A973" s="8"/>
      <c r="S973" s="17"/>
      <c r="T973" s="17"/>
    </row>
    <row r="974" spans="1:20" ht="13.5" customHeight="1" x14ac:dyDescent="0.2">
      <c r="A974" s="8"/>
      <c r="S974" s="17"/>
      <c r="T974" s="17"/>
    </row>
    <row r="975" spans="1:20" ht="13.5" customHeight="1" x14ac:dyDescent="0.2">
      <c r="A975" s="8"/>
      <c r="S975" s="17"/>
      <c r="T975" s="17"/>
    </row>
    <row r="976" spans="1:20" ht="13.5" customHeight="1" x14ac:dyDescent="0.2">
      <c r="A976" s="8"/>
      <c r="S976" s="17"/>
      <c r="T976" s="17"/>
    </row>
    <row r="977" spans="1:20" ht="13.5" customHeight="1" x14ac:dyDescent="0.2">
      <c r="A977" s="8"/>
      <c r="S977" s="17"/>
      <c r="T977" s="17"/>
    </row>
    <row r="978" spans="1:20" ht="13.5" customHeight="1" x14ac:dyDescent="0.2">
      <c r="A978" s="8"/>
      <c r="S978" s="17"/>
      <c r="T978" s="17"/>
    </row>
    <row r="979" spans="1:20" ht="13.5" customHeight="1" x14ac:dyDescent="0.2">
      <c r="A979" s="8"/>
      <c r="S979" s="17"/>
      <c r="T979" s="17"/>
    </row>
    <row r="980" spans="1:20" ht="13.5" customHeight="1" x14ac:dyDescent="0.2">
      <c r="A980" s="8"/>
      <c r="S980" s="17"/>
      <c r="T980" s="17"/>
    </row>
    <row r="981" spans="1:20" ht="13.5" customHeight="1" x14ac:dyDescent="0.2">
      <c r="A981" s="8"/>
      <c r="S981" s="17"/>
      <c r="T981" s="17"/>
    </row>
    <row r="982" spans="1:20" ht="13.5" customHeight="1" x14ac:dyDescent="0.2">
      <c r="A982" s="8"/>
      <c r="S982" s="17"/>
      <c r="T982" s="17"/>
    </row>
    <row r="983" spans="1:20" ht="13.5" customHeight="1" x14ac:dyDescent="0.2">
      <c r="A983" s="8"/>
      <c r="S983" s="17"/>
      <c r="T983" s="17"/>
    </row>
    <row r="984" spans="1:20" ht="13.5" customHeight="1" x14ac:dyDescent="0.2">
      <c r="A984" s="8"/>
      <c r="S984" s="17"/>
      <c r="T984" s="17"/>
    </row>
    <row r="985" spans="1:20" ht="13.5" customHeight="1" x14ac:dyDescent="0.2">
      <c r="A985" s="8"/>
      <c r="S985" s="17"/>
      <c r="T985" s="17"/>
    </row>
    <row r="986" spans="1:20" ht="13.5" customHeight="1" x14ac:dyDescent="0.2">
      <c r="A986" s="8"/>
      <c r="S986" s="17"/>
      <c r="T986" s="17"/>
    </row>
    <row r="987" spans="1:20" ht="13.5" customHeight="1" x14ac:dyDescent="0.2">
      <c r="A987" s="8"/>
      <c r="S987" s="17"/>
      <c r="T987" s="17"/>
    </row>
    <row r="988" spans="1:20" ht="13.5" customHeight="1" x14ac:dyDescent="0.2">
      <c r="A988" s="8"/>
      <c r="S988" s="17"/>
      <c r="T988" s="17"/>
    </row>
    <row r="989" spans="1:20" ht="13.5" customHeight="1" x14ac:dyDescent="0.2">
      <c r="A989" s="8"/>
      <c r="S989" s="17"/>
      <c r="T989" s="17"/>
    </row>
    <row r="990" spans="1:20" ht="13.5" customHeight="1" x14ac:dyDescent="0.2">
      <c r="A990" s="8"/>
      <c r="S990" s="17"/>
      <c r="T990" s="17"/>
    </row>
    <row r="991" spans="1:20" ht="13.5" customHeight="1" x14ac:dyDescent="0.2">
      <c r="A991" s="8"/>
      <c r="S991" s="17"/>
      <c r="T991" s="17"/>
    </row>
    <row r="992" spans="1:20" ht="13.5" customHeight="1" x14ac:dyDescent="0.2">
      <c r="A992" s="8"/>
      <c r="S992" s="17"/>
      <c r="T992" s="17"/>
    </row>
    <row r="993" spans="1:20" ht="13.5" customHeight="1" x14ac:dyDescent="0.2">
      <c r="A993" s="8"/>
      <c r="S993" s="17"/>
      <c r="T993" s="17"/>
    </row>
    <row r="994" spans="1:20" ht="13.5" customHeight="1" x14ac:dyDescent="0.2">
      <c r="A994" s="8"/>
      <c r="S994" s="17"/>
      <c r="T994" s="17"/>
    </row>
    <row r="995" spans="1:20" ht="13.5" customHeight="1" x14ac:dyDescent="0.2">
      <c r="A995" s="8"/>
      <c r="S995" s="17"/>
      <c r="T995" s="17"/>
    </row>
    <row r="996" spans="1:20" ht="13.5" customHeight="1" x14ac:dyDescent="0.2">
      <c r="A996" s="8"/>
      <c r="S996" s="17"/>
      <c r="T996" s="17"/>
    </row>
    <row r="997" spans="1:20" ht="13.5" customHeight="1" x14ac:dyDescent="0.2">
      <c r="A997" s="8"/>
      <c r="S997" s="17"/>
      <c r="T997" s="17"/>
    </row>
    <row r="998" spans="1:20" ht="13.5" customHeight="1" x14ac:dyDescent="0.2">
      <c r="A998" s="8"/>
      <c r="S998" s="17"/>
      <c r="T998" s="17"/>
    </row>
    <row r="999" spans="1:20" ht="13.5" customHeight="1" x14ac:dyDescent="0.2">
      <c r="A999" s="8"/>
      <c r="S999" s="17"/>
      <c r="T999" s="17"/>
    </row>
    <row r="1000" spans="1:20" ht="13.5" customHeight="1" x14ac:dyDescent="0.2">
      <c r="A1000" s="8"/>
      <c r="S1000" s="17"/>
      <c r="T1000" s="17"/>
    </row>
    <row r="1001" spans="1:20" ht="13.5" customHeight="1" x14ac:dyDescent="0.2">
      <c r="A1001" s="8"/>
      <c r="S1001" s="17"/>
      <c r="T1001" s="17"/>
    </row>
    <row r="1002" spans="1:20" ht="13.5" customHeight="1" x14ac:dyDescent="0.2">
      <c r="A1002" s="8"/>
      <c r="S1002" s="17"/>
      <c r="T1002" s="17"/>
    </row>
    <row r="1003" spans="1:20" ht="13.5" customHeight="1" x14ac:dyDescent="0.2">
      <c r="A1003" s="8"/>
      <c r="S1003" s="17"/>
      <c r="T1003" s="17"/>
    </row>
    <row r="1004" spans="1:20" ht="13.5" customHeight="1" x14ac:dyDescent="0.2">
      <c r="A1004" s="8"/>
      <c r="S1004" s="17"/>
      <c r="T1004" s="17"/>
    </row>
    <row r="1005" spans="1:20" ht="13.5" customHeight="1" x14ac:dyDescent="0.2">
      <c r="A1005" s="8"/>
      <c r="S1005" s="17"/>
      <c r="T1005" s="17"/>
    </row>
    <row r="1006" spans="1:20" ht="13.5" customHeight="1" x14ac:dyDescent="0.2">
      <c r="A1006" s="8"/>
      <c r="S1006" s="17"/>
      <c r="T1006" s="17"/>
    </row>
    <row r="1007" spans="1:20" ht="13.5" customHeight="1" x14ac:dyDescent="0.2">
      <c r="A1007" s="8"/>
      <c r="S1007" s="17"/>
      <c r="T1007" s="17"/>
    </row>
    <row r="1008" spans="1:20" ht="13.5" customHeight="1" x14ac:dyDescent="0.2">
      <c r="A1008" s="8"/>
      <c r="S1008" s="17"/>
      <c r="T1008" s="17"/>
    </row>
  </sheetData>
  <mergeCells count="51">
    <mergeCell ref="C66:D66"/>
    <mergeCell ref="C74:D74"/>
    <mergeCell ref="A68:A84"/>
    <mergeCell ref="E56:F56"/>
    <mergeCell ref="A58:A63"/>
    <mergeCell ref="O3:P3"/>
    <mergeCell ref="A5:A13"/>
    <mergeCell ref="C3:D3"/>
    <mergeCell ref="E15:F15"/>
    <mergeCell ref="G15:H15"/>
    <mergeCell ref="I15:J15"/>
    <mergeCell ref="K15:L15"/>
    <mergeCell ref="M15:N15"/>
    <mergeCell ref="O15:P15"/>
    <mergeCell ref="C15:D15"/>
    <mergeCell ref="E3:F3"/>
    <mergeCell ref="G3:H3"/>
    <mergeCell ref="I3:J3"/>
    <mergeCell ref="K3:L3"/>
    <mergeCell ref="M3:N3"/>
    <mergeCell ref="M23:N23"/>
    <mergeCell ref="O23:P23"/>
    <mergeCell ref="C23:D23"/>
    <mergeCell ref="C34:D34"/>
    <mergeCell ref="E34:F34"/>
    <mergeCell ref="G34:H34"/>
    <mergeCell ref="I34:J34"/>
    <mergeCell ref="K34:L34"/>
    <mergeCell ref="M34:N34"/>
    <mergeCell ref="O34:P34"/>
    <mergeCell ref="A17:A21"/>
    <mergeCell ref="E23:F23"/>
    <mergeCell ref="G23:H23"/>
    <mergeCell ref="I23:J23"/>
    <mergeCell ref="K23:L23"/>
    <mergeCell ref="M43:N43"/>
    <mergeCell ref="O43:P43"/>
    <mergeCell ref="M56:N56"/>
    <mergeCell ref="O56:P56"/>
    <mergeCell ref="A25:A32"/>
    <mergeCell ref="C43:D43"/>
    <mergeCell ref="E43:F43"/>
    <mergeCell ref="G43:H43"/>
    <mergeCell ref="I43:J43"/>
    <mergeCell ref="G56:H56"/>
    <mergeCell ref="I56:J56"/>
    <mergeCell ref="K56:L56"/>
    <mergeCell ref="A36:A41"/>
    <mergeCell ref="A45:A54"/>
    <mergeCell ref="K43:L43"/>
    <mergeCell ref="C56:D56"/>
  </mergeCells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77"/>
  <sheetViews>
    <sheetView topLeftCell="A39" workbookViewId="0">
      <selection activeCell="B42" sqref="B42"/>
    </sheetView>
  </sheetViews>
  <sheetFormatPr baseColWidth="10" defaultColWidth="14.5" defaultRowHeight="15" customHeight="1" x14ac:dyDescent="0.2"/>
  <cols>
    <col min="1" max="1" width="14.5" style="3"/>
    <col min="2" max="2" width="100.33203125" style="3" customWidth="1"/>
    <col min="3" max="10" width="6.83203125" style="21" customWidth="1"/>
    <col min="11" max="16384" width="14.5" style="3"/>
  </cols>
  <sheetData>
    <row r="1" spans="1:10" ht="15" customHeight="1" x14ac:dyDescent="0.2">
      <c r="A1" s="1"/>
      <c r="B1" s="2" t="s">
        <v>90</v>
      </c>
    </row>
    <row r="2" spans="1:10" ht="47" customHeight="1" x14ac:dyDescent="0.2">
      <c r="A2" s="1"/>
      <c r="B2" s="4"/>
      <c r="C2" s="111" t="s">
        <v>91</v>
      </c>
      <c r="D2" s="107"/>
      <c r="E2" s="111" t="s">
        <v>92</v>
      </c>
      <c r="F2" s="107"/>
      <c r="G2" s="111" t="s">
        <v>93</v>
      </c>
      <c r="H2" s="107"/>
      <c r="I2" s="111" t="s">
        <v>94</v>
      </c>
      <c r="J2" s="107"/>
    </row>
    <row r="3" spans="1:10" ht="15" customHeight="1" x14ac:dyDescent="0.2">
      <c r="A3" s="5"/>
      <c r="B3" s="5" t="s">
        <v>11</v>
      </c>
      <c r="C3" s="38" t="s">
        <v>12</v>
      </c>
      <c r="D3" s="27" t="s">
        <v>13</v>
      </c>
      <c r="E3" s="38" t="s">
        <v>12</v>
      </c>
      <c r="F3" s="27" t="s">
        <v>13</v>
      </c>
      <c r="G3" s="38" t="s">
        <v>12</v>
      </c>
      <c r="H3" s="27" t="s">
        <v>13</v>
      </c>
      <c r="I3" s="38" t="s">
        <v>12</v>
      </c>
      <c r="J3" s="27" t="s">
        <v>13</v>
      </c>
    </row>
    <row r="4" spans="1:10" ht="15" customHeight="1" x14ac:dyDescent="0.2">
      <c r="A4" s="108" t="s">
        <v>15</v>
      </c>
      <c r="B4" s="7" t="s">
        <v>16</v>
      </c>
      <c r="C4" s="90">
        <f>(10+14)/30</f>
        <v>0.8</v>
      </c>
      <c r="D4" s="91">
        <f>(10+14)</f>
        <v>24</v>
      </c>
      <c r="E4" s="90">
        <f>(31+65)/117</f>
        <v>0.82051282051282048</v>
      </c>
      <c r="F4" s="91">
        <f>(31+65)</f>
        <v>96</v>
      </c>
      <c r="G4" s="90">
        <f>(52+85)/175</f>
        <v>0.78285714285714281</v>
      </c>
      <c r="H4" s="91">
        <f>(52+85)</f>
        <v>137</v>
      </c>
      <c r="I4" s="90">
        <f>(7+22)/42</f>
        <v>0.69047619047619047</v>
      </c>
      <c r="J4" s="91">
        <f>(7+22)</f>
        <v>29</v>
      </c>
    </row>
    <row r="5" spans="1:10" ht="15" customHeight="1" x14ac:dyDescent="0.2">
      <c r="A5" s="109"/>
      <c r="B5" s="8" t="s">
        <v>17</v>
      </c>
      <c r="C5" s="96">
        <f>(4+11)/28</f>
        <v>0.5357142857142857</v>
      </c>
      <c r="D5" s="97">
        <f>(4+11)</f>
        <v>15</v>
      </c>
      <c r="E5" s="96">
        <f>(15+43)/117</f>
        <v>0.49572649572649574</v>
      </c>
      <c r="F5" s="97">
        <f>(15+43)</f>
        <v>58</v>
      </c>
      <c r="G5" s="96">
        <f>(20+48)/176</f>
        <v>0.38636363636363635</v>
      </c>
      <c r="H5" s="97">
        <f>(20+48)</f>
        <v>68</v>
      </c>
      <c r="I5" s="96">
        <f>(2+4)/42</f>
        <v>0.14285714285714285</v>
      </c>
      <c r="J5" s="97">
        <f>(2+4)</f>
        <v>6</v>
      </c>
    </row>
    <row r="6" spans="1:10" ht="15" customHeight="1" x14ac:dyDescent="0.2">
      <c r="A6" s="109"/>
      <c r="B6" s="7" t="s">
        <v>18</v>
      </c>
      <c r="C6" s="90">
        <f>(5+13)/30</f>
        <v>0.6</v>
      </c>
      <c r="D6" s="91">
        <f>(5+13)</f>
        <v>18</v>
      </c>
      <c r="E6" s="90">
        <f>(19+38)/117</f>
        <v>0.48717948717948717</v>
      </c>
      <c r="F6" s="91">
        <f>(19+38)</f>
        <v>57</v>
      </c>
      <c r="G6" s="90">
        <f>(23+64)/177</f>
        <v>0.49152542372881358</v>
      </c>
      <c r="H6" s="91">
        <f>(23+64)</f>
        <v>87</v>
      </c>
      <c r="I6" s="90">
        <f>(2+11)/42</f>
        <v>0.30952380952380953</v>
      </c>
      <c r="J6" s="91">
        <f>(2+11)</f>
        <v>13</v>
      </c>
    </row>
    <row r="7" spans="1:10" ht="15" customHeight="1" x14ac:dyDescent="0.2">
      <c r="A7" s="109"/>
      <c r="B7" s="8" t="s">
        <v>19</v>
      </c>
      <c r="C7" s="96">
        <f>(4+15)/30</f>
        <v>0.6333333333333333</v>
      </c>
      <c r="D7" s="97">
        <f>(4+15)</f>
        <v>19</v>
      </c>
      <c r="E7" s="96">
        <f>(18+46)/116</f>
        <v>0.55172413793103448</v>
      </c>
      <c r="F7" s="97">
        <f>(18+46)</f>
        <v>64</v>
      </c>
      <c r="G7" s="96">
        <f>(32+37)/177</f>
        <v>0.38983050847457629</v>
      </c>
      <c r="H7" s="97">
        <f>(32+37)</f>
        <v>69</v>
      </c>
      <c r="I7" s="96">
        <f>(2+7)/41</f>
        <v>0.21951219512195122</v>
      </c>
      <c r="J7" s="97">
        <f>(2+7)</f>
        <v>9</v>
      </c>
    </row>
    <row r="8" spans="1:10" ht="15" customHeight="1" x14ac:dyDescent="0.2">
      <c r="A8" s="109"/>
      <c r="B8" s="7" t="s">
        <v>20</v>
      </c>
      <c r="C8" s="90">
        <f>(9+15)/30</f>
        <v>0.8</v>
      </c>
      <c r="D8" s="91">
        <f>(9+15)</f>
        <v>24</v>
      </c>
      <c r="E8" s="90">
        <f>(18+53)/117</f>
        <v>0.60683760683760679</v>
      </c>
      <c r="F8" s="91">
        <f>(18+53)</f>
        <v>71</v>
      </c>
      <c r="G8" s="90">
        <f>(29+86)/177</f>
        <v>0.64971751412429379</v>
      </c>
      <c r="H8" s="91">
        <f>(29+86)</f>
        <v>115</v>
      </c>
      <c r="I8" s="90">
        <f>(4+22)/42</f>
        <v>0.61904761904761907</v>
      </c>
      <c r="J8" s="91">
        <f>(4+22)</f>
        <v>26</v>
      </c>
    </row>
    <row r="9" spans="1:10" ht="15" customHeight="1" x14ac:dyDescent="0.2">
      <c r="A9" s="109"/>
      <c r="B9" s="8" t="s">
        <v>21</v>
      </c>
      <c r="C9" s="96">
        <f>(2+14)/30</f>
        <v>0.53333333333333333</v>
      </c>
      <c r="D9" s="97">
        <f>(2+14)</f>
        <v>16</v>
      </c>
      <c r="E9" s="96">
        <f>(13+36)/115</f>
        <v>0.42608695652173911</v>
      </c>
      <c r="F9" s="97">
        <f>(13+36)</f>
        <v>49</v>
      </c>
      <c r="G9" s="96">
        <f>(18+48)/174</f>
        <v>0.37931034482758619</v>
      </c>
      <c r="H9" s="97">
        <f>(18+48)</f>
        <v>66</v>
      </c>
      <c r="I9" s="96">
        <f>(2+5)/12</f>
        <v>0.58333333333333337</v>
      </c>
      <c r="J9" s="97">
        <f>(2+5)</f>
        <v>7</v>
      </c>
    </row>
    <row r="10" spans="1:10" ht="15" customHeight="1" x14ac:dyDescent="0.2">
      <c r="A10" s="109"/>
      <c r="B10" s="7" t="s">
        <v>22</v>
      </c>
      <c r="C10" s="90">
        <f>(3+11)/30</f>
        <v>0.46666666666666667</v>
      </c>
      <c r="D10" s="91">
        <f>(3+11)</f>
        <v>14</v>
      </c>
      <c r="E10" s="90">
        <f>(9+36)/117</f>
        <v>0.38461538461538464</v>
      </c>
      <c r="F10" s="91">
        <f>(9+36)</f>
        <v>45</v>
      </c>
      <c r="G10" s="90">
        <f>(17+39)/177</f>
        <v>0.31638418079096048</v>
      </c>
      <c r="H10" s="91">
        <f>(17+39)</f>
        <v>56</v>
      </c>
      <c r="I10" s="90">
        <f>(1+7)/42</f>
        <v>0.19047619047619047</v>
      </c>
      <c r="J10" s="91">
        <f>(1+7)</f>
        <v>8</v>
      </c>
    </row>
    <row r="11" spans="1:10" ht="15" customHeight="1" x14ac:dyDescent="0.2">
      <c r="A11" s="109"/>
      <c r="B11" s="8" t="s">
        <v>23</v>
      </c>
      <c r="C11" s="96">
        <f>(2+12)/30</f>
        <v>0.46666666666666667</v>
      </c>
      <c r="D11" s="97">
        <f>(2+12)</f>
        <v>14</v>
      </c>
      <c r="E11" s="96">
        <f>(10+34)/117</f>
        <v>0.37606837606837606</v>
      </c>
      <c r="F11" s="97">
        <f>(10+34)</f>
        <v>44</v>
      </c>
      <c r="G11" s="96">
        <f>(16+50)/177</f>
        <v>0.3728813559322034</v>
      </c>
      <c r="H11" s="97">
        <f>(16+50)</f>
        <v>66</v>
      </c>
      <c r="I11" s="96">
        <f>4/42</f>
        <v>9.5238095238095233E-2</v>
      </c>
      <c r="J11" s="97">
        <f>4</f>
        <v>4</v>
      </c>
    </row>
    <row r="12" spans="1:10" ht="15" customHeight="1" thickBot="1" x14ac:dyDescent="0.25">
      <c r="A12" s="109"/>
      <c r="B12" s="10" t="s">
        <v>24</v>
      </c>
      <c r="C12" s="90">
        <f>(6+13)/29</f>
        <v>0.65517241379310343</v>
      </c>
      <c r="D12" s="91">
        <f>(6+13)</f>
        <v>19</v>
      </c>
      <c r="E12" s="90">
        <f>(16+40)/117</f>
        <v>0.47863247863247865</v>
      </c>
      <c r="F12" s="91">
        <f>(16+40)</f>
        <v>56</v>
      </c>
      <c r="G12" s="90">
        <f>(32+52)/176</f>
        <v>0.47727272727272729</v>
      </c>
      <c r="H12" s="91">
        <f>(32+52)</f>
        <v>84</v>
      </c>
      <c r="I12" s="90">
        <f>(2+6)/42</f>
        <v>0.19047619047619047</v>
      </c>
      <c r="J12" s="91">
        <f>(2+6)</f>
        <v>8</v>
      </c>
    </row>
    <row r="13" spans="1:10" ht="15" customHeight="1" x14ac:dyDescent="0.2">
      <c r="A13" s="104"/>
      <c r="B13" s="4"/>
      <c r="C13" s="98"/>
      <c r="D13" s="98"/>
      <c r="E13" s="98"/>
      <c r="F13" s="98"/>
      <c r="G13" s="98"/>
      <c r="H13" s="98"/>
      <c r="I13" s="98"/>
      <c r="J13" s="98"/>
    </row>
    <row r="14" spans="1:10" ht="54" customHeight="1" thickBot="1" x14ac:dyDescent="0.25">
      <c r="A14" s="1"/>
      <c r="B14" s="4"/>
      <c r="C14" s="111" t="s">
        <v>91</v>
      </c>
      <c r="D14" s="107"/>
      <c r="E14" s="111" t="s">
        <v>92</v>
      </c>
      <c r="F14" s="107"/>
      <c r="G14" s="111" t="s">
        <v>93</v>
      </c>
      <c r="H14" s="107"/>
      <c r="I14" s="111" t="s">
        <v>94</v>
      </c>
      <c r="J14" s="107"/>
    </row>
    <row r="15" spans="1:10" ht="15" customHeight="1" x14ac:dyDescent="0.2">
      <c r="A15" s="5"/>
      <c r="B15" s="5"/>
      <c r="C15" s="38" t="s">
        <v>12</v>
      </c>
      <c r="D15" s="27" t="s">
        <v>13</v>
      </c>
      <c r="E15" s="38" t="s">
        <v>12</v>
      </c>
      <c r="F15" s="27" t="s">
        <v>13</v>
      </c>
      <c r="G15" s="38" t="s">
        <v>12</v>
      </c>
      <c r="H15" s="27" t="s">
        <v>13</v>
      </c>
      <c r="I15" s="38" t="s">
        <v>12</v>
      </c>
      <c r="J15" s="27" t="s">
        <v>13</v>
      </c>
    </row>
    <row r="16" spans="1:10" ht="15" customHeight="1" x14ac:dyDescent="0.2">
      <c r="A16" s="108" t="s">
        <v>25</v>
      </c>
      <c r="B16" s="7" t="s">
        <v>26</v>
      </c>
      <c r="C16" s="90">
        <f>(4+13)/30</f>
        <v>0.56666666666666665</v>
      </c>
      <c r="D16" s="91">
        <f>(4+13)</f>
        <v>17</v>
      </c>
      <c r="E16" s="90">
        <f>(11+44)/115</f>
        <v>0.47826086956521741</v>
      </c>
      <c r="F16" s="91">
        <f>(11+44)</f>
        <v>55</v>
      </c>
      <c r="G16" s="90">
        <f>(27+59)/177</f>
        <v>0.48587570621468928</v>
      </c>
      <c r="H16" s="91">
        <f>(27+59)</f>
        <v>86</v>
      </c>
      <c r="I16" s="90">
        <f>(3+9)/42</f>
        <v>0.2857142857142857</v>
      </c>
      <c r="J16" s="91">
        <f>(3+9)</f>
        <v>12</v>
      </c>
    </row>
    <row r="17" spans="1:10" ht="15" customHeight="1" x14ac:dyDescent="0.2">
      <c r="A17" s="109"/>
      <c r="B17" s="8" t="s">
        <v>27</v>
      </c>
      <c r="C17" s="96">
        <f>(5+19)/30</f>
        <v>0.8</v>
      </c>
      <c r="D17" s="97">
        <f>(5+19)</f>
        <v>24</v>
      </c>
      <c r="E17" s="96">
        <f>(20+64)/116</f>
        <v>0.72413793103448276</v>
      </c>
      <c r="F17" s="97">
        <f>(20+64)</f>
        <v>84</v>
      </c>
      <c r="G17" s="96">
        <f>(38+75)/177</f>
        <v>0.6384180790960452</v>
      </c>
      <c r="H17" s="97">
        <f>(38+75)</f>
        <v>113</v>
      </c>
      <c r="I17" s="96">
        <f>(5+19)/41</f>
        <v>0.58536585365853655</v>
      </c>
      <c r="J17" s="97">
        <f>(5+19)</f>
        <v>24</v>
      </c>
    </row>
    <row r="18" spans="1:10" ht="15" customHeight="1" x14ac:dyDescent="0.2">
      <c r="A18" s="109"/>
      <c r="B18" s="7" t="s">
        <v>28</v>
      </c>
      <c r="C18" s="90">
        <f>(1+8)/29</f>
        <v>0.31034482758620691</v>
      </c>
      <c r="D18" s="91">
        <f>(1+8)</f>
        <v>9</v>
      </c>
      <c r="E18" s="90">
        <f>(10+18)/115</f>
        <v>0.24347826086956523</v>
      </c>
      <c r="F18" s="91">
        <f>(10+18)</f>
        <v>28</v>
      </c>
      <c r="G18" s="90">
        <f>(16+32)/177</f>
        <v>0.2711864406779661</v>
      </c>
      <c r="H18" s="91">
        <f>(16+32)</f>
        <v>48</v>
      </c>
      <c r="I18" s="90">
        <f>(7+10)/42</f>
        <v>0.40476190476190477</v>
      </c>
      <c r="J18" s="91">
        <f>(7+10)</f>
        <v>17</v>
      </c>
    </row>
    <row r="19" spans="1:10" ht="15" customHeight="1" x14ac:dyDescent="0.2">
      <c r="A19" s="109"/>
      <c r="B19" s="8" t="s">
        <v>29</v>
      </c>
      <c r="C19" s="96">
        <f>(5+7)/29</f>
        <v>0.41379310344827586</v>
      </c>
      <c r="D19" s="97">
        <f>(5+7)</f>
        <v>12</v>
      </c>
      <c r="E19" s="96">
        <f>(16+28)/116</f>
        <v>0.37931034482758619</v>
      </c>
      <c r="F19" s="97">
        <f>(16+28)</f>
        <v>44</v>
      </c>
      <c r="G19" s="96">
        <f>(21+54)/177</f>
        <v>0.42372881355932202</v>
      </c>
      <c r="H19" s="97">
        <f>(21+54)</f>
        <v>75</v>
      </c>
      <c r="I19" s="96">
        <f>(12+12)/42</f>
        <v>0.5714285714285714</v>
      </c>
      <c r="J19" s="97">
        <f>(12+12)</f>
        <v>24</v>
      </c>
    </row>
    <row r="20" spans="1:10" ht="15" customHeight="1" x14ac:dyDescent="0.2">
      <c r="A20" s="110"/>
      <c r="B20" s="10" t="s">
        <v>30</v>
      </c>
      <c r="C20" s="90">
        <f>(4+14)/30</f>
        <v>0.6</v>
      </c>
      <c r="D20" s="91">
        <f>(4+14)</f>
        <v>18</v>
      </c>
      <c r="E20" s="90">
        <f>(14+38)/116</f>
        <v>0.44827586206896552</v>
      </c>
      <c r="F20" s="91">
        <f>(14+38)</f>
        <v>52</v>
      </c>
      <c r="G20" s="90">
        <f>(17+63)/177</f>
        <v>0.4519774011299435</v>
      </c>
      <c r="H20" s="91">
        <f>(17+63)</f>
        <v>80</v>
      </c>
      <c r="I20" s="90">
        <f>(2+10)/41</f>
        <v>0.29268292682926828</v>
      </c>
      <c r="J20" s="91">
        <f>(2+10)</f>
        <v>12</v>
      </c>
    </row>
    <row r="21" spans="1:10" ht="15" customHeight="1" x14ac:dyDescent="0.2">
      <c r="A21" s="1"/>
      <c r="B21" s="4"/>
      <c r="C21" s="98"/>
      <c r="D21" s="98"/>
      <c r="E21" s="98"/>
      <c r="F21" s="98"/>
      <c r="G21" s="98"/>
      <c r="H21" s="98"/>
      <c r="I21" s="98"/>
      <c r="J21" s="98"/>
    </row>
    <row r="22" spans="1:10" ht="55" customHeight="1" x14ac:dyDescent="0.2">
      <c r="A22" s="1"/>
      <c r="B22" s="11"/>
      <c r="C22" s="111" t="s">
        <v>91</v>
      </c>
      <c r="D22" s="107"/>
      <c r="E22" s="111" t="s">
        <v>92</v>
      </c>
      <c r="F22" s="107"/>
      <c r="G22" s="111" t="s">
        <v>93</v>
      </c>
      <c r="H22" s="107"/>
      <c r="I22" s="111" t="s">
        <v>94</v>
      </c>
      <c r="J22" s="107"/>
    </row>
    <row r="23" spans="1:10" ht="15" customHeight="1" x14ac:dyDescent="0.2">
      <c r="A23" s="5"/>
      <c r="B23" s="6" t="s">
        <v>11</v>
      </c>
      <c r="C23" s="38" t="s">
        <v>12</v>
      </c>
      <c r="D23" s="27" t="s">
        <v>13</v>
      </c>
      <c r="E23" s="38" t="s">
        <v>12</v>
      </c>
      <c r="F23" s="27" t="s">
        <v>13</v>
      </c>
      <c r="G23" s="38" t="s">
        <v>12</v>
      </c>
      <c r="H23" s="27" t="s">
        <v>13</v>
      </c>
      <c r="I23" s="38" t="s">
        <v>12</v>
      </c>
      <c r="J23" s="27" t="s">
        <v>13</v>
      </c>
    </row>
    <row r="24" spans="1:10" ht="15" customHeight="1" x14ac:dyDescent="0.2">
      <c r="A24" s="108" t="s">
        <v>36</v>
      </c>
      <c r="B24" s="7" t="s">
        <v>37</v>
      </c>
      <c r="C24" s="90">
        <f>(4+14)/30</f>
        <v>0.6</v>
      </c>
      <c r="D24" s="91">
        <f>(4+14)</f>
        <v>18</v>
      </c>
      <c r="E24" s="90">
        <f>(4+29)/117</f>
        <v>0.28205128205128205</v>
      </c>
      <c r="F24" s="91">
        <f>(4+29)</f>
        <v>33</v>
      </c>
      <c r="G24" s="90">
        <f>(11+60)/177</f>
        <v>0.40112994350282488</v>
      </c>
      <c r="H24" s="91">
        <f>(11+60)</f>
        <v>71</v>
      </c>
      <c r="I24" s="90">
        <f>(1+9)/42</f>
        <v>0.23809523809523808</v>
      </c>
      <c r="J24" s="91">
        <f>(1+9)</f>
        <v>10</v>
      </c>
    </row>
    <row r="25" spans="1:10" ht="15" customHeight="1" x14ac:dyDescent="0.2">
      <c r="A25" s="109"/>
      <c r="B25" s="8" t="s">
        <v>38</v>
      </c>
      <c r="C25" s="96">
        <f>(1+10)/30</f>
        <v>0.36666666666666664</v>
      </c>
      <c r="D25" s="97">
        <f>(1+10)</f>
        <v>11</v>
      </c>
      <c r="E25" s="96">
        <f>(5+24)/116</f>
        <v>0.25</v>
      </c>
      <c r="F25" s="97">
        <f>(5+24)</f>
        <v>29</v>
      </c>
      <c r="G25" s="96">
        <f>(7+45)/177</f>
        <v>0.29378531073446329</v>
      </c>
      <c r="H25" s="97">
        <f>(7+45)</f>
        <v>52</v>
      </c>
      <c r="I25" s="96">
        <f>(1+5)/42</f>
        <v>0.14285714285714285</v>
      </c>
      <c r="J25" s="97">
        <f>(1+5)</f>
        <v>6</v>
      </c>
    </row>
    <row r="26" spans="1:10" ht="15" customHeight="1" x14ac:dyDescent="0.2">
      <c r="A26" s="109"/>
      <c r="B26" s="7" t="s">
        <v>39</v>
      </c>
      <c r="C26" s="90">
        <f>(1+12)/30</f>
        <v>0.43333333333333335</v>
      </c>
      <c r="D26" s="91">
        <f>(1+12)</f>
        <v>13</v>
      </c>
      <c r="E26" s="90">
        <f>(12+26)/117</f>
        <v>0.3247863247863248</v>
      </c>
      <c r="F26" s="91">
        <f>(12+26)</f>
        <v>38</v>
      </c>
      <c r="G26" s="90">
        <f>(14+74)/177</f>
        <v>0.49717514124293788</v>
      </c>
      <c r="H26" s="91">
        <f>(14+74)</f>
        <v>88</v>
      </c>
      <c r="I26" s="90">
        <f>(2+7)/42</f>
        <v>0.21428571428571427</v>
      </c>
      <c r="J26" s="91">
        <f>(2+7)</f>
        <v>9</v>
      </c>
    </row>
    <row r="27" spans="1:10" ht="15" customHeight="1" x14ac:dyDescent="0.2">
      <c r="A27" s="109"/>
      <c r="B27" s="8" t="s">
        <v>40</v>
      </c>
      <c r="C27" s="96">
        <f>(4+17)/30</f>
        <v>0.7</v>
      </c>
      <c r="D27" s="97">
        <f>(4+17)</f>
        <v>21</v>
      </c>
      <c r="E27" s="96">
        <f>(9+34)/116</f>
        <v>0.37068965517241381</v>
      </c>
      <c r="F27" s="97">
        <f>(9+34)</f>
        <v>43</v>
      </c>
      <c r="G27" s="96">
        <f>(20+92)/177</f>
        <v>0.63276836158192096</v>
      </c>
      <c r="H27" s="97">
        <f>(20+92)</f>
        <v>112</v>
      </c>
      <c r="I27" s="96">
        <f>(3+12)/42</f>
        <v>0.35714285714285715</v>
      </c>
      <c r="J27" s="97">
        <f>(3+12)</f>
        <v>15</v>
      </c>
    </row>
    <row r="28" spans="1:10" ht="15" customHeight="1" x14ac:dyDescent="0.2">
      <c r="A28" s="109"/>
      <c r="B28" s="7" t="s">
        <v>41</v>
      </c>
      <c r="C28" s="90">
        <f>(2+14)/30</f>
        <v>0.53333333333333333</v>
      </c>
      <c r="D28" s="91">
        <f>(2+14)</f>
        <v>16</v>
      </c>
      <c r="E28" s="90">
        <f>(11+41)/117</f>
        <v>0.44444444444444442</v>
      </c>
      <c r="F28" s="91">
        <f>(11+41)</f>
        <v>52</v>
      </c>
      <c r="G28" s="90">
        <f>(23+89)/177</f>
        <v>0.63276836158192096</v>
      </c>
      <c r="H28" s="91">
        <f>(23+89)</f>
        <v>112</v>
      </c>
      <c r="I28" s="90">
        <f>(2+15)/42</f>
        <v>0.40476190476190477</v>
      </c>
      <c r="J28" s="91">
        <f>(2+15)</f>
        <v>17</v>
      </c>
    </row>
    <row r="29" spans="1:10" ht="15" customHeight="1" x14ac:dyDescent="0.2">
      <c r="A29" s="109"/>
      <c r="B29" s="8" t="s">
        <v>42</v>
      </c>
      <c r="C29" s="96">
        <f>(14)/30</f>
        <v>0.46666666666666667</v>
      </c>
      <c r="D29" s="97">
        <f>(14)</f>
        <v>14</v>
      </c>
      <c r="E29" s="96">
        <f>(5+23)/117</f>
        <v>0.23931623931623933</v>
      </c>
      <c r="F29" s="97">
        <f>(5+23)</f>
        <v>28</v>
      </c>
      <c r="G29" s="96">
        <f>(6+43)/177</f>
        <v>0.2768361581920904</v>
      </c>
      <c r="H29" s="97">
        <f>(6+43)</f>
        <v>49</v>
      </c>
      <c r="I29" s="96">
        <f>(1+3)/42</f>
        <v>9.5238095238095233E-2</v>
      </c>
      <c r="J29" s="97">
        <f>(1+3)</f>
        <v>4</v>
      </c>
    </row>
    <row r="30" spans="1:10" ht="15" customHeight="1" x14ac:dyDescent="0.2">
      <c r="A30" s="109"/>
      <c r="B30" s="7" t="s">
        <v>43</v>
      </c>
      <c r="C30" s="90">
        <f>(3+14)/29</f>
        <v>0.58620689655172409</v>
      </c>
      <c r="D30" s="91">
        <f>(3+14)</f>
        <v>17</v>
      </c>
      <c r="E30" s="90">
        <f>(5+26)/117</f>
        <v>0.26495726495726496</v>
      </c>
      <c r="F30" s="91">
        <f>(5+26)</f>
        <v>31</v>
      </c>
      <c r="G30" s="90">
        <f>(19+61)/176</f>
        <v>0.45454545454545453</v>
      </c>
      <c r="H30" s="91">
        <f>(19+61)</f>
        <v>80</v>
      </c>
      <c r="I30" s="90">
        <f>(8)/42</f>
        <v>0.19047619047619047</v>
      </c>
      <c r="J30" s="91">
        <f>(8)</f>
        <v>8</v>
      </c>
    </row>
    <row r="31" spans="1:10" ht="15" customHeight="1" x14ac:dyDescent="0.2">
      <c r="A31" s="110"/>
      <c r="B31" s="12" t="s">
        <v>44</v>
      </c>
      <c r="C31" s="96">
        <f>(3+18)/30</f>
        <v>0.7</v>
      </c>
      <c r="D31" s="97">
        <f>(3+18)</f>
        <v>21</v>
      </c>
      <c r="E31" s="96">
        <f>(11+41)/115</f>
        <v>0.45217391304347826</v>
      </c>
      <c r="F31" s="97">
        <f>(11+41)</f>
        <v>52</v>
      </c>
      <c r="G31" s="96">
        <f>(17+80)/177</f>
        <v>0.54802259887005644</v>
      </c>
      <c r="H31" s="97">
        <f>(17+80)</f>
        <v>97</v>
      </c>
      <c r="I31" s="96">
        <f>(9)/42</f>
        <v>0.21428571428571427</v>
      </c>
      <c r="J31" s="97">
        <f>(9)</f>
        <v>9</v>
      </c>
    </row>
    <row r="32" spans="1:10" ht="15" customHeight="1" x14ac:dyDescent="0.2">
      <c r="A32" s="8"/>
      <c r="B32" s="8"/>
      <c r="C32" s="98"/>
      <c r="D32" s="98"/>
      <c r="E32" s="98"/>
      <c r="F32" s="98"/>
      <c r="G32" s="98"/>
      <c r="H32" s="98"/>
      <c r="I32" s="98"/>
      <c r="J32" s="98"/>
    </row>
    <row r="33" spans="1:10" ht="48" customHeight="1" x14ac:dyDescent="0.2">
      <c r="A33" s="13"/>
      <c r="B33" s="11"/>
      <c r="C33" s="111" t="s">
        <v>91</v>
      </c>
      <c r="D33" s="107"/>
      <c r="E33" s="111" t="s">
        <v>92</v>
      </c>
      <c r="F33" s="107"/>
      <c r="G33" s="111" t="s">
        <v>93</v>
      </c>
      <c r="H33" s="107"/>
      <c r="I33" s="111" t="s">
        <v>94</v>
      </c>
      <c r="J33" s="107"/>
    </row>
    <row r="34" spans="1:10" ht="15" customHeight="1" x14ac:dyDescent="0.2">
      <c r="A34" s="6"/>
      <c r="B34" s="6" t="s">
        <v>45</v>
      </c>
      <c r="C34" s="38" t="s">
        <v>12</v>
      </c>
      <c r="D34" s="27" t="s">
        <v>13</v>
      </c>
      <c r="E34" s="38" t="s">
        <v>12</v>
      </c>
      <c r="F34" s="27" t="s">
        <v>13</v>
      </c>
      <c r="G34" s="38" t="s">
        <v>12</v>
      </c>
      <c r="H34" s="27" t="s">
        <v>13</v>
      </c>
      <c r="I34" s="38" t="s">
        <v>12</v>
      </c>
      <c r="J34" s="27" t="s">
        <v>13</v>
      </c>
    </row>
    <row r="35" spans="1:10" ht="15" customHeight="1" x14ac:dyDescent="0.2">
      <c r="A35" s="108" t="s">
        <v>46</v>
      </c>
      <c r="B35" s="7" t="s">
        <v>47</v>
      </c>
      <c r="C35" s="90">
        <f>(8+14)/30</f>
        <v>0.73333333333333328</v>
      </c>
      <c r="D35" s="91">
        <f>(8+14)</f>
        <v>22</v>
      </c>
      <c r="E35" s="90">
        <f>(24+39)/117</f>
        <v>0.53846153846153844</v>
      </c>
      <c r="F35" s="91">
        <f>(24+39)</f>
        <v>63</v>
      </c>
      <c r="G35" s="90">
        <f>(39+62)/176</f>
        <v>0.57386363636363635</v>
      </c>
      <c r="H35" s="91">
        <f>(39+62)</f>
        <v>101</v>
      </c>
      <c r="I35" s="90">
        <f>(5+16)/42</f>
        <v>0.5</v>
      </c>
      <c r="J35" s="91">
        <f>(5+16)</f>
        <v>21</v>
      </c>
    </row>
    <row r="36" spans="1:10" ht="15" customHeight="1" x14ac:dyDescent="0.2">
      <c r="A36" s="109"/>
      <c r="B36" s="8" t="s">
        <v>48</v>
      </c>
      <c r="C36" s="96">
        <f>(9+14)/30</f>
        <v>0.76666666666666672</v>
      </c>
      <c r="D36" s="97">
        <f>(9+14)</f>
        <v>23</v>
      </c>
      <c r="E36" s="96">
        <f>(24+43)/117</f>
        <v>0.57264957264957261</v>
      </c>
      <c r="F36" s="97">
        <f>(24+43)</f>
        <v>67</v>
      </c>
      <c r="G36" s="96">
        <f>(46+55)/176</f>
        <v>0.57386363636363635</v>
      </c>
      <c r="H36" s="97">
        <f>(46+55)</f>
        <v>101</v>
      </c>
      <c r="I36" s="96">
        <f>(5+15)/42</f>
        <v>0.47619047619047616</v>
      </c>
      <c r="J36" s="97">
        <f>(5+15)</f>
        <v>20</v>
      </c>
    </row>
    <row r="37" spans="1:10" ht="15" customHeight="1" x14ac:dyDescent="0.2">
      <c r="A37" s="109"/>
      <c r="B37" s="7" t="s">
        <v>49</v>
      </c>
      <c r="C37" s="90">
        <f>(12+14)/29</f>
        <v>0.89655172413793105</v>
      </c>
      <c r="D37" s="91">
        <f>(12+14)</f>
        <v>26</v>
      </c>
      <c r="E37" s="90">
        <f>(33+49)/117</f>
        <v>0.70085470085470081</v>
      </c>
      <c r="F37" s="91">
        <f>(33+49)</f>
        <v>82</v>
      </c>
      <c r="G37" s="90">
        <f>(49+61)/176</f>
        <v>0.625</v>
      </c>
      <c r="H37" s="91">
        <f>(49+61)</f>
        <v>110</v>
      </c>
      <c r="I37" s="90">
        <f>(7+17)/42</f>
        <v>0.5714285714285714</v>
      </c>
      <c r="J37" s="91">
        <f>(7+17)</f>
        <v>24</v>
      </c>
    </row>
    <row r="38" spans="1:10" ht="15" customHeight="1" x14ac:dyDescent="0.2">
      <c r="A38" s="109"/>
      <c r="B38" s="8" t="s">
        <v>50</v>
      </c>
      <c r="C38" s="96">
        <f>(9+12)/29</f>
        <v>0.72413793103448276</v>
      </c>
      <c r="D38" s="97">
        <f>(9+12)</f>
        <v>21</v>
      </c>
      <c r="E38" s="96">
        <f>(34+49)/117</f>
        <v>0.70940170940170943</v>
      </c>
      <c r="F38" s="97">
        <f>(34+49)</f>
        <v>83</v>
      </c>
      <c r="G38" s="96">
        <f>(43+64)/175</f>
        <v>0.61142857142857143</v>
      </c>
      <c r="H38" s="97">
        <f>(43+64)</f>
        <v>107</v>
      </c>
      <c r="I38" s="96">
        <f>(9+17)/42</f>
        <v>0.61904761904761907</v>
      </c>
      <c r="J38" s="97">
        <f>(9+17)</f>
        <v>26</v>
      </c>
    </row>
    <row r="39" spans="1:10" ht="15" customHeight="1" x14ac:dyDescent="0.2">
      <c r="A39" s="109"/>
      <c r="B39" s="7" t="s">
        <v>51</v>
      </c>
      <c r="C39" s="90">
        <f>(6+12)/30</f>
        <v>0.6</v>
      </c>
      <c r="D39" s="91">
        <f>(6+12)</f>
        <v>18</v>
      </c>
      <c r="E39" s="90">
        <f>(25+29)/117</f>
        <v>0.46153846153846156</v>
      </c>
      <c r="F39" s="91">
        <f>(25+29)</f>
        <v>54</v>
      </c>
      <c r="G39" s="90">
        <f>(42+49)/176</f>
        <v>0.51704545454545459</v>
      </c>
      <c r="H39" s="91">
        <f>(42+49)</f>
        <v>91</v>
      </c>
      <c r="I39" s="90">
        <f>(7+10)/42</f>
        <v>0.40476190476190477</v>
      </c>
      <c r="J39" s="91">
        <f>(7+10)</f>
        <v>17</v>
      </c>
    </row>
    <row r="40" spans="1:10" ht="15" customHeight="1" x14ac:dyDescent="0.2">
      <c r="A40" s="110"/>
      <c r="B40" s="12" t="s">
        <v>52</v>
      </c>
      <c r="C40" s="96">
        <f>(14+12)/30</f>
        <v>0.8666666666666667</v>
      </c>
      <c r="D40" s="97">
        <f>(14+12)</f>
        <v>26</v>
      </c>
      <c r="E40" s="96">
        <f>(41+45)/117</f>
        <v>0.7350427350427351</v>
      </c>
      <c r="F40" s="97">
        <f>(41+45)</f>
        <v>86</v>
      </c>
      <c r="G40" s="96">
        <f>(70+43)/175</f>
        <v>0.64571428571428569</v>
      </c>
      <c r="H40" s="97">
        <f>(70+43)</f>
        <v>113</v>
      </c>
      <c r="I40" s="96">
        <f>(8+13)/42</f>
        <v>0.5</v>
      </c>
      <c r="J40" s="97">
        <f>(8+13)</f>
        <v>21</v>
      </c>
    </row>
    <row r="41" spans="1:10" ht="15" customHeight="1" x14ac:dyDescent="0.2">
      <c r="A41" s="8"/>
      <c r="B41" s="14"/>
      <c r="C41" s="98"/>
      <c r="D41" s="98"/>
      <c r="E41" s="98"/>
      <c r="F41" s="98"/>
      <c r="G41" s="98"/>
      <c r="H41" s="98"/>
      <c r="I41" s="98"/>
      <c r="J41" s="98"/>
    </row>
    <row r="42" spans="1:10" ht="47" customHeight="1" x14ac:dyDescent="0.2">
      <c r="A42" s="13"/>
      <c r="B42" s="11"/>
      <c r="C42" s="111" t="s">
        <v>91</v>
      </c>
      <c r="D42" s="107"/>
      <c r="E42" s="111" t="s">
        <v>92</v>
      </c>
      <c r="F42" s="107"/>
      <c r="G42" s="111" t="s">
        <v>93</v>
      </c>
      <c r="H42" s="107"/>
      <c r="I42" s="111" t="s">
        <v>94</v>
      </c>
      <c r="J42" s="107"/>
    </row>
    <row r="43" spans="1:10" ht="15" customHeight="1" x14ac:dyDescent="0.2">
      <c r="A43" s="6"/>
      <c r="B43" s="6" t="s">
        <v>53</v>
      </c>
      <c r="C43" s="38" t="s">
        <v>12</v>
      </c>
      <c r="D43" s="27" t="s">
        <v>13</v>
      </c>
      <c r="E43" s="38" t="s">
        <v>12</v>
      </c>
      <c r="F43" s="27" t="s">
        <v>13</v>
      </c>
      <c r="G43" s="38" t="s">
        <v>12</v>
      </c>
      <c r="H43" s="27" t="s">
        <v>13</v>
      </c>
      <c r="I43" s="38" t="s">
        <v>12</v>
      </c>
      <c r="J43" s="27" t="s">
        <v>13</v>
      </c>
    </row>
    <row r="44" spans="1:10" ht="15" customHeight="1" x14ac:dyDescent="0.2">
      <c r="A44" s="108" t="s">
        <v>54</v>
      </c>
      <c r="B44" s="7" t="s">
        <v>55</v>
      </c>
      <c r="C44" s="90">
        <f>(2+14)/30</f>
        <v>0.53333333333333333</v>
      </c>
      <c r="D44" s="91">
        <f>(2+14)</f>
        <v>16</v>
      </c>
      <c r="E44" s="90">
        <f>(9+37)/117</f>
        <v>0.39316239316239315</v>
      </c>
      <c r="F44" s="91">
        <f>(9+37)</f>
        <v>46</v>
      </c>
      <c r="G44" s="90">
        <f>(15+62)/174</f>
        <v>0.44252873563218392</v>
      </c>
      <c r="H44" s="91">
        <f>(15+62)</f>
        <v>77</v>
      </c>
      <c r="I44" s="90">
        <f>(12)/42</f>
        <v>0.2857142857142857</v>
      </c>
      <c r="J44" s="91">
        <f>(12)</f>
        <v>12</v>
      </c>
    </row>
    <row r="45" spans="1:10" ht="15" customHeight="1" x14ac:dyDescent="0.2">
      <c r="A45" s="109"/>
      <c r="B45" s="8" t="s">
        <v>56</v>
      </c>
      <c r="C45" s="96">
        <f>(2+12)/30</f>
        <v>0.46666666666666667</v>
      </c>
      <c r="D45" s="97">
        <f>(2+12)</f>
        <v>14</v>
      </c>
      <c r="E45" s="96">
        <f>(7+28)/116</f>
        <v>0.30172413793103448</v>
      </c>
      <c r="F45" s="97">
        <f>(7+28)</f>
        <v>35</v>
      </c>
      <c r="G45" s="96">
        <f>(12+36)/175</f>
        <v>0.2742857142857143</v>
      </c>
      <c r="H45" s="97">
        <f>(12+36)</f>
        <v>48</v>
      </c>
      <c r="I45" s="96">
        <f>(1+4)/42</f>
        <v>0.11904761904761904</v>
      </c>
      <c r="J45" s="97">
        <f>(1+4)</f>
        <v>5</v>
      </c>
    </row>
    <row r="46" spans="1:10" ht="15" customHeight="1" x14ac:dyDescent="0.2">
      <c r="A46" s="109"/>
      <c r="B46" s="7" t="s">
        <v>57</v>
      </c>
      <c r="C46" s="90">
        <f>(3+10)/30</f>
        <v>0.43333333333333335</v>
      </c>
      <c r="D46" s="91">
        <f>(3+10)</f>
        <v>13</v>
      </c>
      <c r="E46" s="90">
        <f>(8+33)/117</f>
        <v>0.3504273504273504</v>
      </c>
      <c r="F46" s="91">
        <f>(8+33)</f>
        <v>41</v>
      </c>
      <c r="G46" s="90">
        <f>(11+51)/175</f>
        <v>0.35428571428571426</v>
      </c>
      <c r="H46" s="91">
        <f>(11+51)</f>
        <v>62</v>
      </c>
      <c r="I46" s="90">
        <f>(5)/41</f>
        <v>0.12195121951219512</v>
      </c>
      <c r="J46" s="91">
        <f>(5)</f>
        <v>5</v>
      </c>
    </row>
    <row r="47" spans="1:10" ht="15" customHeight="1" x14ac:dyDescent="0.2">
      <c r="A47" s="109"/>
      <c r="B47" s="8" t="s">
        <v>58</v>
      </c>
      <c r="C47" s="96">
        <f>(2+15)/30</f>
        <v>0.56666666666666665</v>
      </c>
      <c r="D47" s="97">
        <f>(2+15)</f>
        <v>17</v>
      </c>
      <c r="E47" s="96">
        <f>(7+36)/117</f>
        <v>0.36752136752136755</v>
      </c>
      <c r="F47" s="97">
        <f>(7+36)</f>
        <v>43</v>
      </c>
      <c r="G47" s="96">
        <f>(13+26)/175</f>
        <v>0.22285714285714286</v>
      </c>
      <c r="H47" s="97">
        <f>(13+26)</f>
        <v>39</v>
      </c>
      <c r="I47" s="96">
        <f>(1+2)/42</f>
        <v>7.1428571428571425E-2</v>
      </c>
      <c r="J47" s="97">
        <f>(1+2)</f>
        <v>3</v>
      </c>
    </row>
    <row r="48" spans="1:10" ht="15" customHeight="1" x14ac:dyDescent="0.2">
      <c r="A48" s="109"/>
      <c r="B48" s="7" t="s">
        <v>59</v>
      </c>
      <c r="C48" s="90">
        <f>(4+12)/30</f>
        <v>0.53333333333333333</v>
      </c>
      <c r="D48" s="91">
        <f>(4+12)</f>
        <v>16</v>
      </c>
      <c r="E48" s="90">
        <f>(6+22)/117</f>
        <v>0.23931623931623933</v>
      </c>
      <c r="F48" s="91">
        <f>(6+22)</f>
        <v>28</v>
      </c>
      <c r="G48" s="90">
        <f>(8+27)/175</f>
        <v>0.2</v>
      </c>
      <c r="H48" s="91">
        <f>(8+27)</f>
        <v>35</v>
      </c>
      <c r="I48" s="90">
        <f>(2)/42</f>
        <v>4.7619047619047616E-2</v>
      </c>
      <c r="J48" s="91">
        <f>(2)</f>
        <v>2</v>
      </c>
    </row>
    <row r="49" spans="1:10" ht="15" customHeight="1" x14ac:dyDescent="0.2">
      <c r="A49" s="109"/>
      <c r="B49" s="8" t="s">
        <v>60</v>
      </c>
      <c r="C49" s="96">
        <f>(5+11)/30</f>
        <v>0.53333333333333333</v>
      </c>
      <c r="D49" s="97">
        <f>(5+11)</f>
        <v>16</v>
      </c>
      <c r="E49" s="96">
        <f>(10+30)/117</f>
        <v>0.34188034188034189</v>
      </c>
      <c r="F49" s="97">
        <f>(10+30)</f>
        <v>40</v>
      </c>
      <c r="G49" s="96">
        <f>(7+26)/175</f>
        <v>0.18857142857142858</v>
      </c>
      <c r="H49" s="97">
        <f>(7+26)</f>
        <v>33</v>
      </c>
      <c r="I49" s="96">
        <f>(1+7)/42</f>
        <v>0.19047619047619047</v>
      </c>
      <c r="J49" s="97">
        <f>(1+7)</f>
        <v>8</v>
      </c>
    </row>
    <row r="50" spans="1:10" ht="15" customHeight="1" x14ac:dyDescent="0.2">
      <c r="A50" s="109"/>
      <c r="B50" s="7" t="s">
        <v>61</v>
      </c>
      <c r="C50" s="90">
        <f>(3+13)/30</f>
        <v>0.53333333333333333</v>
      </c>
      <c r="D50" s="91">
        <f>(3+13)</f>
        <v>16</v>
      </c>
      <c r="E50" s="90">
        <f>(9+21)/117</f>
        <v>0.25641025641025639</v>
      </c>
      <c r="F50" s="91">
        <f>(9+21)</f>
        <v>30</v>
      </c>
      <c r="G50" s="90">
        <f t="shared" ref="G50:G51" si="0">(9+23)/175</f>
        <v>0.18285714285714286</v>
      </c>
      <c r="H50" s="91">
        <f t="shared" ref="H50:H51" si="1">(9+23)</f>
        <v>32</v>
      </c>
      <c r="I50" s="90">
        <f>(1+1)/41</f>
        <v>4.878048780487805E-2</v>
      </c>
      <c r="J50" s="91">
        <f>(1+1)</f>
        <v>2</v>
      </c>
    </row>
    <row r="51" spans="1:10" ht="15" customHeight="1" x14ac:dyDescent="0.2">
      <c r="A51" s="109"/>
      <c r="B51" s="8" t="s">
        <v>62</v>
      </c>
      <c r="C51" s="96">
        <f>(2+9)/30</f>
        <v>0.36666666666666664</v>
      </c>
      <c r="D51" s="97">
        <f>(2+9)</f>
        <v>11</v>
      </c>
      <c r="E51" s="96">
        <f>(6+15)/116</f>
        <v>0.18103448275862069</v>
      </c>
      <c r="F51" s="97">
        <f>(6+15)</f>
        <v>21</v>
      </c>
      <c r="G51" s="96">
        <f t="shared" si="0"/>
        <v>0.18285714285714286</v>
      </c>
      <c r="H51" s="97">
        <f t="shared" si="1"/>
        <v>32</v>
      </c>
      <c r="I51" s="96">
        <f>(1)/42</f>
        <v>2.3809523809523808E-2</v>
      </c>
      <c r="J51" s="97">
        <f>(1)</f>
        <v>1</v>
      </c>
    </row>
    <row r="52" spans="1:10" ht="15" customHeight="1" x14ac:dyDescent="0.2">
      <c r="A52" s="109"/>
      <c r="B52" s="7" t="s">
        <v>63</v>
      </c>
      <c r="C52" s="90">
        <f>(2+10)/30</f>
        <v>0.4</v>
      </c>
      <c r="D52" s="91">
        <f>(2+10)</f>
        <v>12</v>
      </c>
      <c r="E52" s="90">
        <f>(7+27)/116</f>
        <v>0.29310344827586204</v>
      </c>
      <c r="F52" s="91">
        <f>(7+27)</f>
        <v>34</v>
      </c>
      <c r="G52" s="90">
        <f>(12+26)/175</f>
        <v>0.21714285714285714</v>
      </c>
      <c r="H52" s="91">
        <f>(12+26)</f>
        <v>38</v>
      </c>
      <c r="I52" s="90">
        <f>4/42</f>
        <v>9.5238095238095233E-2</v>
      </c>
      <c r="J52" s="91">
        <f>4</f>
        <v>4</v>
      </c>
    </row>
    <row r="53" spans="1:10" ht="15" customHeight="1" x14ac:dyDescent="0.2">
      <c r="A53" s="110"/>
      <c r="B53" s="12" t="s">
        <v>64</v>
      </c>
      <c r="C53" s="96">
        <f>(4+11)/30</f>
        <v>0.5</v>
      </c>
      <c r="D53" s="97">
        <f>(4+11)</f>
        <v>15</v>
      </c>
      <c r="E53" s="96">
        <f>(8+19)/116</f>
        <v>0.23275862068965517</v>
      </c>
      <c r="F53" s="97">
        <f>(8+19)</f>
        <v>27</v>
      </c>
      <c r="G53" s="96">
        <f>(11+28)/175</f>
        <v>0.22285714285714286</v>
      </c>
      <c r="H53" s="97">
        <f>(11+28)</f>
        <v>39</v>
      </c>
      <c r="I53" s="96">
        <f>(1+1)/42</f>
        <v>4.7619047619047616E-2</v>
      </c>
      <c r="J53" s="97">
        <f>(1+1)</f>
        <v>2</v>
      </c>
    </row>
    <row r="54" spans="1:10" ht="15" customHeight="1" x14ac:dyDescent="0.2">
      <c r="A54" s="15"/>
      <c r="B54" s="16"/>
      <c r="C54" s="98"/>
      <c r="D54" s="98"/>
      <c r="E54" s="98"/>
      <c r="F54" s="98"/>
      <c r="G54" s="98"/>
      <c r="H54" s="98"/>
      <c r="I54" s="98"/>
      <c r="J54" s="98"/>
    </row>
    <row r="55" spans="1:10" ht="48" customHeight="1" x14ac:dyDescent="0.2">
      <c r="A55" s="13"/>
      <c r="B55" s="11"/>
      <c r="C55" s="111" t="s">
        <v>91</v>
      </c>
      <c r="D55" s="107"/>
      <c r="E55" s="111" t="s">
        <v>92</v>
      </c>
      <c r="F55" s="107"/>
      <c r="G55" s="111" t="s">
        <v>93</v>
      </c>
      <c r="H55" s="107"/>
      <c r="I55" s="111" t="s">
        <v>94</v>
      </c>
      <c r="J55" s="107"/>
    </row>
    <row r="56" spans="1:10" ht="15" customHeight="1" x14ac:dyDescent="0.2">
      <c r="A56" s="6"/>
      <c r="B56" s="6" t="s">
        <v>65</v>
      </c>
      <c r="C56" s="38" t="s">
        <v>12</v>
      </c>
      <c r="D56" s="27" t="s">
        <v>13</v>
      </c>
      <c r="E56" s="38" t="s">
        <v>12</v>
      </c>
      <c r="F56" s="27" t="s">
        <v>13</v>
      </c>
      <c r="G56" s="38" t="s">
        <v>12</v>
      </c>
      <c r="H56" s="27" t="s">
        <v>13</v>
      </c>
      <c r="I56" s="38" t="s">
        <v>12</v>
      </c>
      <c r="J56" s="27" t="s">
        <v>13</v>
      </c>
    </row>
    <row r="57" spans="1:10" ht="15" customHeight="1" x14ac:dyDescent="0.2">
      <c r="A57" s="108" t="s">
        <v>66</v>
      </c>
      <c r="B57" s="7" t="s">
        <v>67</v>
      </c>
      <c r="C57" s="90">
        <f>(13+12)/29</f>
        <v>0.86206896551724133</v>
      </c>
      <c r="D57" s="91">
        <f>(13+12)</f>
        <v>25</v>
      </c>
      <c r="E57" s="90">
        <f>(32+62)/117</f>
        <v>0.80341880341880345</v>
      </c>
      <c r="F57" s="91">
        <f>(32+62)</f>
        <v>94</v>
      </c>
      <c r="G57" s="90">
        <f>(75+74)/174</f>
        <v>0.85632183908045978</v>
      </c>
      <c r="H57" s="91">
        <f>(75+74)</f>
        <v>149</v>
      </c>
      <c r="I57" s="90">
        <f>(5+25)/42</f>
        <v>0.7142857142857143</v>
      </c>
      <c r="J57" s="91">
        <f>(5+25)</f>
        <v>30</v>
      </c>
    </row>
    <row r="58" spans="1:10" ht="15" customHeight="1" x14ac:dyDescent="0.2">
      <c r="A58" s="109"/>
      <c r="B58" s="8" t="s">
        <v>68</v>
      </c>
      <c r="C58" s="96">
        <f>(10+15)/29</f>
        <v>0.86206896551724133</v>
      </c>
      <c r="D58" s="97">
        <f>(10+15)</f>
        <v>25</v>
      </c>
      <c r="E58" s="96">
        <f>(32+55)/117</f>
        <v>0.74358974358974361</v>
      </c>
      <c r="F58" s="97">
        <f>(32+55)</f>
        <v>87</v>
      </c>
      <c r="G58" s="96">
        <f>(73+72)/174</f>
        <v>0.83333333333333337</v>
      </c>
      <c r="H58" s="97">
        <f>(73+72)</f>
        <v>145</v>
      </c>
      <c r="I58" s="96">
        <f>(7+24)/42</f>
        <v>0.73809523809523814</v>
      </c>
      <c r="J58" s="97">
        <f>(7+24)</f>
        <v>31</v>
      </c>
    </row>
    <row r="59" spans="1:10" ht="15" customHeight="1" x14ac:dyDescent="0.2">
      <c r="A59" s="109"/>
      <c r="B59" s="7" t="s">
        <v>69</v>
      </c>
      <c r="C59" s="90">
        <f>(11+15)/28</f>
        <v>0.9285714285714286</v>
      </c>
      <c r="D59" s="91">
        <f>(11+15)</f>
        <v>26</v>
      </c>
      <c r="E59" s="90">
        <f>(30+54)/117</f>
        <v>0.71794871794871795</v>
      </c>
      <c r="F59" s="91">
        <f>(30+54)</f>
        <v>84</v>
      </c>
      <c r="G59" s="90">
        <f>(63+69)/174</f>
        <v>0.75862068965517238</v>
      </c>
      <c r="H59" s="91">
        <f>(63+69)</f>
        <v>132</v>
      </c>
      <c r="I59" s="90">
        <f>(4+20)/42</f>
        <v>0.5714285714285714</v>
      </c>
      <c r="J59" s="91">
        <f>(4+20)</f>
        <v>24</v>
      </c>
    </row>
    <row r="60" spans="1:10" ht="15" customHeight="1" x14ac:dyDescent="0.2">
      <c r="A60" s="109"/>
      <c r="B60" s="8" t="s">
        <v>70</v>
      </c>
      <c r="C60" s="96">
        <f>(8+14)/28</f>
        <v>0.7857142857142857</v>
      </c>
      <c r="D60" s="97">
        <f>(8+14)</f>
        <v>22</v>
      </c>
      <c r="E60" s="96">
        <f>(20+51)/116</f>
        <v>0.61206896551724133</v>
      </c>
      <c r="F60" s="97">
        <f>(20+51)</f>
        <v>71</v>
      </c>
      <c r="G60" s="96">
        <f>(61+59)/173</f>
        <v>0.69364161849710981</v>
      </c>
      <c r="H60" s="97">
        <f>(61+59)</f>
        <v>120</v>
      </c>
      <c r="I60" s="96">
        <f>(4+15)/42</f>
        <v>0.45238095238095238</v>
      </c>
      <c r="J60" s="97">
        <f>(4+15)</f>
        <v>19</v>
      </c>
    </row>
    <row r="61" spans="1:10" ht="15" customHeight="1" x14ac:dyDescent="0.2">
      <c r="A61" s="109"/>
      <c r="B61" s="7" t="s">
        <v>71</v>
      </c>
      <c r="C61" s="90">
        <f>(9+14)/29</f>
        <v>0.7931034482758621</v>
      </c>
      <c r="D61" s="91">
        <f>(9+14)</f>
        <v>23</v>
      </c>
      <c r="E61" s="90">
        <f>(19+63)/117</f>
        <v>0.70085470085470081</v>
      </c>
      <c r="F61" s="91">
        <f>(19+63)</f>
        <v>82</v>
      </c>
      <c r="G61" s="90">
        <f>(59+72)/174</f>
        <v>0.75287356321839083</v>
      </c>
      <c r="H61" s="91">
        <f>(59+72)</f>
        <v>131</v>
      </c>
      <c r="I61" s="90">
        <f>(6+15)/42</f>
        <v>0.5</v>
      </c>
      <c r="J61" s="91">
        <f>(6+15)</f>
        <v>21</v>
      </c>
    </row>
    <row r="62" spans="1:10" ht="15" customHeight="1" x14ac:dyDescent="0.2">
      <c r="A62" s="110"/>
      <c r="B62" s="12" t="s">
        <v>72</v>
      </c>
      <c r="C62" s="96">
        <f>(8+14)/29</f>
        <v>0.75862068965517238</v>
      </c>
      <c r="D62" s="97">
        <f>(8+14)</f>
        <v>22</v>
      </c>
      <c r="E62" s="96">
        <f>(29+50)/117</f>
        <v>0.67521367521367526</v>
      </c>
      <c r="F62" s="97">
        <f>(29+50)</f>
        <v>79</v>
      </c>
      <c r="G62" s="96">
        <f>(75+70)/173</f>
        <v>0.83815028901734101</v>
      </c>
      <c r="H62" s="97">
        <f>(75+70)</f>
        <v>145</v>
      </c>
      <c r="I62" s="96">
        <f>(6+19)/42</f>
        <v>0.59523809523809523</v>
      </c>
      <c r="J62" s="97">
        <f>(6+19)</f>
        <v>25</v>
      </c>
    </row>
    <row r="63" spans="1:10" ht="15" customHeight="1" x14ac:dyDescent="0.2">
      <c r="A63" s="1"/>
      <c r="B63" s="4"/>
      <c r="C63" s="98"/>
      <c r="D63" s="98"/>
      <c r="E63" s="98"/>
      <c r="F63" s="98"/>
      <c r="G63" s="98"/>
      <c r="H63" s="98"/>
      <c r="I63" s="98"/>
      <c r="J63" s="98"/>
    </row>
    <row r="64" spans="1:10" ht="15" customHeight="1" x14ac:dyDescent="0.2">
      <c r="A64" s="1"/>
      <c r="B64" s="4"/>
      <c r="C64" s="19"/>
      <c r="D64" s="19"/>
      <c r="E64" s="19"/>
      <c r="F64" s="19"/>
      <c r="G64" s="19"/>
      <c r="H64" s="19"/>
      <c r="I64" s="19"/>
      <c r="J64" s="19"/>
    </row>
    <row r="65" spans="1:10" ht="15" customHeight="1" x14ac:dyDescent="0.2">
      <c r="A65" s="8"/>
      <c r="C65" s="97"/>
      <c r="D65" s="97"/>
      <c r="E65" s="96"/>
      <c r="F65" s="97"/>
      <c r="G65" s="97"/>
      <c r="H65" s="97"/>
      <c r="I65" s="97"/>
      <c r="J65" s="97"/>
    </row>
    <row r="66" spans="1:10" ht="15" customHeight="1" x14ac:dyDescent="0.2">
      <c r="C66" s="97"/>
      <c r="D66" s="97"/>
      <c r="E66" s="96"/>
      <c r="F66" s="97"/>
      <c r="G66" s="97"/>
      <c r="H66" s="97"/>
      <c r="I66" s="97"/>
      <c r="J66" s="97"/>
    </row>
    <row r="67" spans="1:10" ht="15" customHeight="1" x14ac:dyDescent="0.2">
      <c r="C67" s="97"/>
      <c r="D67" s="97"/>
      <c r="E67" s="96"/>
      <c r="F67" s="97"/>
      <c r="G67" s="97"/>
      <c r="H67" s="97"/>
      <c r="I67" s="97"/>
      <c r="J67" s="97"/>
    </row>
    <row r="68" spans="1:10" ht="15" customHeight="1" x14ac:dyDescent="0.2">
      <c r="C68" s="97"/>
      <c r="D68" s="97"/>
      <c r="E68" s="96"/>
      <c r="F68" s="97"/>
      <c r="G68" s="97"/>
      <c r="H68" s="97"/>
      <c r="I68" s="97"/>
      <c r="J68" s="97"/>
    </row>
    <row r="69" spans="1:10" ht="15" customHeight="1" x14ac:dyDescent="0.2">
      <c r="C69" s="97"/>
      <c r="D69" s="97"/>
      <c r="E69" s="96"/>
      <c r="F69" s="97"/>
      <c r="G69" s="97"/>
      <c r="H69" s="97"/>
      <c r="I69" s="97"/>
      <c r="J69" s="97"/>
    </row>
    <row r="70" spans="1:10" ht="15" customHeight="1" x14ac:dyDescent="0.2">
      <c r="C70" s="97"/>
      <c r="D70" s="97"/>
      <c r="E70" s="96"/>
      <c r="F70" s="97"/>
      <c r="G70" s="97"/>
      <c r="H70" s="97"/>
      <c r="I70" s="97"/>
      <c r="J70" s="97"/>
    </row>
    <row r="71" spans="1:10" ht="15" customHeight="1" x14ac:dyDescent="0.2">
      <c r="C71" s="97"/>
      <c r="D71" s="97"/>
      <c r="E71" s="96"/>
      <c r="F71" s="97"/>
      <c r="G71" s="97"/>
      <c r="H71" s="97"/>
      <c r="I71" s="97"/>
      <c r="J71" s="97"/>
    </row>
    <row r="72" spans="1:10" ht="15" customHeight="1" x14ac:dyDescent="0.2">
      <c r="C72" s="97"/>
      <c r="D72" s="97"/>
      <c r="E72" s="96"/>
      <c r="F72" s="97"/>
      <c r="G72" s="97"/>
      <c r="H72" s="97"/>
      <c r="I72" s="97"/>
      <c r="J72" s="97"/>
    </row>
    <row r="73" spans="1:10" ht="15" customHeight="1" x14ac:dyDescent="0.2">
      <c r="C73" s="97"/>
      <c r="D73" s="97"/>
      <c r="E73" s="96"/>
      <c r="F73" s="97"/>
      <c r="G73" s="97"/>
      <c r="H73" s="97"/>
      <c r="I73" s="97"/>
      <c r="J73" s="97"/>
    </row>
    <row r="74" spans="1:10" ht="15" customHeight="1" x14ac:dyDescent="0.2">
      <c r="C74" s="97"/>
      <c r="D74" s="97"/>
      <c r="E74" s="96"/>
      <c r="F74" s="97"/>
      <c r="G74" s="97"/>
      <c r="H74" s="97"/>
      <c r="I74" s="97"/>
      <c r="J74" s="97"/>
    </row>
    <row r="75" spans="1:10" ht="15" customHeight="1" x14ac:dyDescent="0.2">
      <c r="C75" s="97"/>
      <c r="D75" s="97"/>
      <c r="E75" s="96"/>
      <c r="F75" s="97"/>
      <c r="G75" s="97"/>
      <c r="H75" s="97"/>
      <c r="I75" s="97"/>
      <c r="J75" s="97"/>
    </row>
    <row r="76" spans="1:10" ht="15" customHeight="1" x14ac:dyDescent="0.2">
      <c r="E76" s="99"/>
    </row>
    <row r="77" spans="1:10" ht="15" customHeight="1" x14ac:dyDescent="0.2">
      <c r="E77" s="99"/>
    </row>
  </sheetData>
  <mergeCells count="30">
    <mergeCell ref="A57:A62"/>
    <mergeCell ref="A44:A53"/>
    <mergeCell ref="E55:F55"/>
    <mergeCell ref="G55:H55"/>
    <mergeCell ref="I55:J55"/>
    <mergeCell ref="C55:D55"/>
    <mergeCell ref="E42:F42"/>
    <mergeCell ref="G42:H42"/>
    <mergeCell ref="I42:J42"/>
    <mergeCell ref="C42:D42"/>
    <mergeCell ref="A35:A40"/>
    <mergeCell ref="E33:F33"/>
    <mergeCell ref="G33:H33"/>
    <mergeCell ref="I33:J33"/>
    <mergeCell ref="C33:D33"/>
    <mergeCell ref="E22:F22"/>
    <mergeCell ref="G22:H22"/>
    <mergeCell ref="I22:J22"/>
    <mergeCell ref="C22:D22"/>
    <mergeCell ref="A24:A31"/>
    <mergeCell ref="A4:A12"/>
    <mergeCell ref="E2:F2"/>
    <mergeCell ref="G2:H2"/>
    <mergeCell ref="I2:J2"/>
    <mergeCell ref="C2:D2"/>
    <mergeCell ref="E14:F14"/>
    <mergeCell ref="G14:H14"/>
    <mergeCell ref="I14:J14"/>
    <mergeCell ref="C14:D14"/>
    <mergeCell ref="A16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</vt:lpstr>
      <vt:lpstr>By Job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Cartnal</dc:creator>
  <cp:lastModifiedBy>Katie Brohawn</cp:lastModifiedBy>
  <dcterms:created xsi:type="dcterms:W3CDTF">2024-09-05T20:59:37Z</dcterms:created>
  <dcterms:modified xsi:type="dcterms:W3CDTF">2024-12-16T22:42:13Z</dcterms:modified>
</cp:coreProperties>
</file>